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975" windowHeight="6585" activeTab="0"/>
  </bookViews>
  <sheets>
    <sheet name="Antal dyr " sheetId="1" r:id="rId1"/>
    <sheet name="Viborg amt" sheetId="2" r:id="rId2"/>
    <sheet name="Storstrøm" sheetId="3" r:id="rId3"/>
    <sheet name="Gns amt" sheetId="4" r:id="rId4"/>
    <sheet name="Ark1" sheetId="5" r:id="rId5"/>
    <sheet name="Tab-omkostninger" sheetId="6" r:id="rId6"/>
  </sheets>
  <definedNames/>
  <calcPr fullCalcOnLoad="1"/>
</workbook>
</file>

<file path=xl/comments1.xml><?xml version="1.0" encoding="utf-8"?>
<comments xmlns="http://schemas.openxmlformats.org/spreadsheetml/2006/main">
  <authors>
    <author>Finn Udesen</author>
  </authors>
  <commentList>
    <comment ref="A2" authorId="0">
      <text>
        <r>
          <rPr>
            <b/>
            <sz val="8"/>
            <rFont val="Tahoma"/>
            <family val="0"/>
          </rPr>
          <t>Finn Udesen: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Dette program anvendes til at lave estimater over forebyggende nedslagninger indenfor forskellige sikkerhedszoner.
</t>
        </r>
      </text>
    </comment>
  </commentList>
</comments>
</file>

<file path=xl/sharedStrings.xml><?xml version="1.0" encoding="utf-8"?>
<sst xmlns="http://schemas.openxmlformats.org/spreadsheetml/2006/main" count="235" uniqueCount="96">
  <si>
    <t>I alt 2695 besætninger</t>
  </si>
  <si>
    <t>Samlet antal søer</t>
  </si>
  <si>
    <t>Samlet antal slagtesvin</t>
  </si>
  <si>
    <t>(Fra 0-1280 pr. besætning)</t>
  </si>
  <si>
    <t>(Fra 0-7920 pr. besætning)</t>
  </si>
  <si>
    <t>Tilfældig besætning:</t>
  </si>
  <si>
    <t>1km</t>
  </si>
  <si>
    <t>3km</t>
  </si>
  <si>
    <t>10km</t>
  </si>
  <si>
    <t>Antal søer indenfor zone:</t>
  </si>
  <si>
    <t>Antal slagtesvin indenfor zone:</t>
  </si>
  <si>
    <t>I alt 1025 besætninger</t>
  </si>
  <si>
    <t>(Fra 0-1776 pr. besætning)</t>
  </si>
  <si>
    <t>(Fra 0-5800 pr. besætning)</t>
  </si>
  <si>
    <t>Omkostninger</t>
  </si>
  <si>
    <t>1*-3 km</t>
  </si>
  <si>
    <t>3*-10 km</t>
  </si>
  <si>
    <t>Grise pr årsso</t>
  </si>
  <si>
    <t>Viborg amt</t>
  </si>
  <si>
    <t xml:space="preserve">Antal dyr </t>
  </si>
  <si>
    <t>Kr pr dyr</t>
  </si>
  <si>
    <t>kr pr smågris</t>
  </si>
  <si>
    <t>Kr pr slagtesvin</t>
  </si>
  <si>
    <t>Rengøring pr so</t>
  </si>
  <si>
    <t>Rengøring pr slagtesvin</t>
  </si>
  <si>
    <t>Søer</t>
  </si>
  <si>
    <t>Slagtesvin</t>
  </si>
  <si>
    <t>Sanering af 1 km zone</t>
  </si>
  <si>
    <t>Sanering pr so</t>
  </si>
  <si>
    <t>Sanering pr slagtesvin</t>
  </si>
  <si>
    <t>Rengøring, destruktion mv. søer</t>
  </si>
  <si>
    <t>Sanering i alt</t>
  </si>
  <si>
    <t>Tab første 4 uger søer</t>
  </si>
  <si>
    <t>Tab følgende uge søer</t>
  </si>
  <si>
    <t>Tab følgende uge slagtesvin</t>
  </si>
  <si>
    <t>3*-10 km zone</t>
  </si>
  <si>
    <t>1*-3 km zone</t>
  </si>
  <si>
    <t>Amtet -10 km zone</t>
  </si>
  <si>
    <t>I alt</t>
  </si>
  <si>
    <t>Destruktion mv. smågrise</t>
  </si>
  <si>
    <t>Destruktion mv. slagtesvin</t>
  </si>
  <si>
    <t>Destruktion mv pr so</t>
  </si>
  <si>
    <t>Destruktion mv pr  slagtesvin</t>
  </si>
  <si>
    <t>Destruktion pr smågris</t>
  </si>
  <si>
    <t>Destruktion pr slagtesvin</t>
  </si>
  <si>
    <t>Amtet</t>
  </si>
  <si>
    <t>Amt-10 km</t>
  </si>
  <si>
    <t>Amt</t>
  </si>
  <si>
    <t xml:space="preserve">Samlede omkostninger </t>
  </si>
  <si>
    <t>Tab uge 2-4 slagtesvin</t>
  </si>
  <si>
    <t>Storstrøms amt</t>
  </si>
  <si>
    <t>Antal ramte besætninger</t>
  </si>
  <si>
    <t>Indirekte tab i besætninger udenfor zoonerne</t>
  </si>
  <si>
    <t>Antal grise pr uge der ikke kan komme ud</t>
  </si>
  <si>
    <t>Antal grise pr uge der ikke kan komme ind</t>
  </si>
  <si>
    <t>Manglende DB på slagtesvin</t>
  </si>
  <si>
    <t>DB slagtesvin</t>
  </si>
  <si>
    <t>Netto overskudsgrise i 4 uger</t>
  </si>
  <si>
    <t>Manglende DB p¨å slagtesvin</t>
  </si>
  <si>
    <t>Antal dyr pr uge</t>
  </si>
  <si>
    <t>Kr pr enhed</t>
  </si>
  <si>
    <t>Saneringsomkostninger</t>
  </si>
  <si>
    <t>Samlede omkostninger</t>
  </si>
  <si>
    <t>Overvågning i 3 km zone i 8 uger</t>
  </si>
  <si>
    <t>Overvågning i 10 km zone i 4 uger</t>
  </si>
  <si>
    <t>Overvågning i amt i 4 uger</t>
  </si>
  <si>
    <t>Indirekte tab i besætninger udenfor zoner</t>
  </si>
  <si>
    <t>Antal ramte amter</t>
  </si>
  <si>
    <t>gemmemsnits amt</t>
  </si>
  <si>
    <t>Gennemsnits besætning</t>
  </si>
  <si>
    <t>Tab ved udbrud af svinepest, hvis besætninger ligger i forskellige amter</t>
  </si>
  <si>
    <t>Tab ved udbrud af svinepest, hvis besætningerne ligger i samme amt</t>
  </si>
  <si>
    <t>Beregning af produktion og omkostrninger ved svinepest i 10 km zone</t>
  </si>
  <si>
    <t>Sobesætninger med salg af 7 kg grise</t>
  </si>
  <si>
    <t>Antal besætninger</t>
  </si>
  <si>
    <t>Antal søer</t>
  </si>
  <si>
    <t>Sobesætninmger med salg af 30 kg grise</t>
  </si>
  <si>
    <t>Integrerrede besætninger</t>
  </si>
  <si>
    <t>Slagtesvinebesætninger</t>
  </si>
  <si>
    <t>13 ugers leverancer</t>
  </si>
  <si>
    <t>Smågrise pr uge</t>
  </si>
  <si>
    <t>Slagtesvin pr uge</t>
  </si>
  <si>
    <t>Priser</t>
  </si>
  <si>
    <t>Fravænnede grise</t>
  </si>
  <si>
    <t>30 kg grise</t>
  </si>
  <si>
    <t>Slagtesvin inkl. Efterbetaling</t>
  </si>
  <si>
    <t>Notering i ugenr</t>
  </si>
  <si>
    <t>Antal smågrise pr år</t>
  </si>
  <si>
    <t>Omkostning pr uge</t>
  </si>
  <si>
    <t>Omkostning i 8 uger</t>
  </si>
  <si>
    <t>Omkostning til aflivning og destruktion</t>
  </si>
  <si>
    <t>10 km-amt</t>
  </si>
  <si>
    <t>1.  VIBORG AMT</t>
  </si>
  <si>
    <t>2.  STORSTRØMS AMT</t>
  </si>
  <si>
    <t>sidste ændre</t>
  </si>
  <si>
    <t>4.11.2010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</si>
</sst>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m\i\o"/>
    <numFmt numFmtId="170" formatCode="0.000000"/>
    <numFmt numFmtId="171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Tab ved svinepest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8"/>
          <c:w val="0.92225"/>
          <c:h val="0.7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'Tab-omkostninger'!$E$10:$H$10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samme amt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'Tab-omkostninger'!$E$21:$H$21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5466494"/>
        <c:axId val="4980719"/>
      </c:lineChart>
      <c:cat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antal amter/besætninger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kr.</a:t>
                </a:r>
              </a:p>
            </c:rich>
          </c:tx>
          <c:layout>
            <c:manualLayout>
              <c:xMode val="factor"/>
              <c:yMode val="factor"/>
              <c:x val="0.03"/>
              <c:y val="0.1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66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8</xdr:row>
      <xdr:rowOff>123825</xdr:rowOff>
    </xdr:from>
    <xdr:to>
      <xdr:col>9</xdr:col>
      <xdr:colOff>552450</xdr:colOff>
      <xdr:row>11</xdr:row>
      <xdr:rowOff>142875</xdr:rowOff>
    </xdr:to>
    <xdr:sp>
      <xdr:nvSpPr>
        <xdr:cNvPr id="1" name="AutoShape 2"/>
        <xdr:cNvSpPr>
          <a:spLocks/>
        </xdr:cNvSpPr>
      </xdr:nvSpPr>
      <xdr:spPr>
        <a:xfrm rot="16200000" flipH="1">
          <a:off x="6191250" y="1419225"/>
          <a:ext cx="352425" cy="504825"/>
        </a:xfrm>
        <a:prstGeom prst="bentConnector3">
          <a:avLst>
            <a:gd name="adj1" fmla="val 49055"/>
            <a:gd name="adj2" fmla="val 432430"/>
            <a:gd name="adj3" fmla="val -1175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47625</xdr:rowOff>
    </xdr:from>
    <xdr:to>
      <xdr:col>9</xdr:col>
      <xdr:colOff>571500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790575" y="3609975"/>
        <a:ext cx="6219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B1" sqref="B1"/>
    </sheetView>
  </sheetViews>
  <sheetFormatPr defaultColWidth="9.140625" defaultRowHeight="12.75"/>
  <cols>
    <col min="6" max="6" width="9.28125" style="0" bestFit="1" customWidth="1"/>
    <col min="7" max="7" width="10.28125" style="0" bestFit="1" customWidth="1"/>
    <col min="8" max="8" width="11.28125" style="0" bestFit="1" customWidth="1"/>
    <col min="9" max="9" width="13.28125" style="0" customWidth="1"/>
  </cols>
  <sheetData>
    <row r="2" ht="12.75">
      <c r="A2" s="3" t="s">
        <v>92</v>
      </c>
    </row>
    <row r="3" ht="12.75">
      <c r="A3" t="s">
        <v>0</v>
      </c>
    </row>
    <row r="5" spans="1:7" ht="12.75">
      <c r="A5" t="s">
        <v>1</v>
      </c>
      <c r="G5" t="s">
        <v>3</v>
      </c>
    </row>
    <row r="6" spans="1:7" ht="12.75">
      <c r="A6" t="s">
        <v>2</v>
      </c>
      <c r="G6" t="s">
        <v>4</v>
      </c>
    </row>
    <row r="8" ht="12.75">
      <c r="A8" t="s">
        <v>5</v>
      </c>
    </row>
    <row r="9" spans="6:9" ht="12.75">
      <c r="F9" t="s">
        <v>6</v>
      </c>
      <c r="G9" t="s">
        <v>7</v>
      </c>
      <c r="H9" t="s">
        <v>8</v>
      </c>
      <c r="I9" t="s">
        <v>45</v>
      </c>
    </row>
    <row r="10" spans="1:9" ht="12.75">
      <c r="A10" t="s">
        <v>9</v>
      </c>
      <c r="F10" s="2">
        <v>963</v>
      </c>
      <c r="G10" s="2">
        <v>3096</v>
      </c>
      <c r="H10" s="2">
        <v>18047</v>
      </c>
      <c r="I10" s="6">
        <v>148110</v>
      </c>
    </row>
    <row r="11" spans="1:9" ht="12.75">
      <c r="A11" t="s">
        <v>10</v>
      </c>
      <c r="F11" s="2">
        <v>9543</v>
      </c>
      <c r="G11" s="2">
        <v>20934</v>
      </c>
      <c r="H11" s="2">
        <v>112005</v>
      </c>
      <c r="I11" s="6">
        <v>974283</v>
      </c>
    </row>
    <row r="12" spans="6:10" ht="12.75">
      <c r="F12" s="2" t="s">
        <v>6</v>
      </c>
      <c r="G12" s="2" t="s">
        <v>15</v>
      </c>
      <c r="H12" s="2" t="s">
        <v>16</v>
      </c>
      <c r="I12" s="6" t="s">
        <v>91</v>
      </c>
      <c r="J12" s="6" t="s">
        <v>45</v>
      </c>
    </row>
    <row r="13" spans="1:10" ht="12.75">
      <c r="A13" t="s">
        <v>9</v>
      </c>
      <c r="F13" s="2">
        <v>963</v>
      </c>
      <c r="G13" s="2">
        <f aca="true" t="shared" si="0" ref="G13:I14">+G10-F10</f>
        <v>2133</v>
      </c>
      <c r="H13" s="2">
        <f t="shared" si="0"/>
        <v>14951</v>
      </c>
      <c r="I13" s="7">
        <f t="shared" si="0"/>
        <v>130063</v>
      </c>
      <c r="J13" s="7">
        <f>SUM(F13:I13)</f>
        <v>148110</v>
      </c>
    </row>
    <row r="14" spans="1:10" ht="12.75">
      <c r="A14" t="s">
        <v>10</v>
      </c>
      <c r="F14" s="2">
        <v>9543</v>
      </c>
      <c r="G14" s="2">
        <f t="shared" si="0"/>
        <v>11391</v>
      </c>
      <c r="H14" s="2">
        <f t="shared" si="0"/>
        <v>91071</v>
      </c>
      <c r="I14" s="7">
        <f t="shared" si="0"/>
        <v>862278</v>
      </c>
      <c r="J14" s="7">
        <f>SUM(F14:I14)</f>
        <v>974283</v>
      </c>
    </row>
    <row r="17" ht="12.75">
      <c r="A17" s="3" t="s">
        <v>93</v>
      </c>
    </row>
    <row r="18" ht="12.75">
      <c r="A18" t="s">
        <v>11</v>
      </c>
    </row>
    <row r="20" spans="1:7" ht="12.75">
      <c r="A20" t="s">
        <v>1</v>
      </c>
      <c r="G20" t="s">
        <v>12</v>
      </c>
    </row>
    <row r="21" spans="1:7" ht="12.75">
      <c r="A21" t="s">
        <v>2</v>
      </c>
      <c r="G21" t="s">
        <v>13</v>
      </c>
    </row>
    <row r="23" ht="12.75">
      <c r="A23" t="s">
        <v>5</v>
      </c>
    </row>
    <row r="24" spans="6:9" ht="12.75">
      <c r="F24" t="s">
        <v>6</v>
      </c>
      <c r="G24" t="s">
        <v>7</v>
      </c>
      <c r="H24" t="s">
        <v>8</v>
      </c>
      <c r="I24" t="s">
        <v>47</v>
      </c>
    </row>
    <row r="25" spans="1:9" ht="12.75">
      <c r="A25" t="s">
        <v>9</v>
      </c>
      <c r="F25" s="2">
        <v>105</v>
      </c>
      <c r="G25" s="2">
        <v>834</v>
      </c>
      <c r="H25" s="2">
        <v>9909</v>
      </c>
      <c r="I25" s="6">
        <v>64369</v>
      </c>
    </row>
    <row r="26" spans="1:9" ht="12.75">
      <c r="A26" t="s">
        <v>10</v>
      </c>
      <c r="F26" s="2">
        <v>1050</v>
      </c>
      <c r="G26" s="2">
        <v>4226</v>
      </c>
      <c r="H26" s="2">
        <v>37268</v>
      </c>
      <c r="I26" s="6">
        <v>364768</v>
      </c>
    </row>
    <row r="27" spans="6:9" ht="12.75">
      <c r="F27" s="2" t="s">
        <v>6</v>
      </c>
      <c r="G27" s="2" t="s">
        <v>15</v>
      </c>
      <c r="H27" s="2" t="s">
        <v>16</v>
      </c>
      <c r="I27" s="6" t="s">
        <v>46</v>
      </c>
    </row>
    <row r="28" spans="6:9" ht="12.75">
      <c r="F28" s="2">
        <v>105</v>
      </c>
      <c r="G28" s="2">
        <f aca="true" t="shared" si="1" ref="G28:I29">+G25-F25</f>
        <v>729</v>
      </c>
      <c r="H28" s="2">
        <f t="shared" si="1"/>
        <v>9075</v>
      </c>
      <c r="I28" s="7">
        <f t="shared" si="1"/>
        <v>54460</v>
      </c>
    </row>
    <row r="29" spans="6:9" ht="12.75">
      <c r="F29" s="2">
        <v>1050</v>
      </c>
      <c r="G29" s="2">
        <f t="shared" si="1"/>
        <v>3176</v>
      </c>
      <c r="H29" s="2">
        <f t="shared" si="1"/>
        <v>33042</v>
      </c>
      <c r="I29" s="7">
        <f t="shared" si="1"/>
        <v>327500</v>
      </c>
    </row>
    <row r="31" spans="1:5" ht="12.75">
      <c r="A31" t="s">
        <v>17</v>
      </c>
      <c r="E31">
        <v>27.5</v>
      </c>
    </row>
    <row r="32" spans="1:5" ht="12.75">
      <c r="A32" t="s">
        <v>21</v>
      </c>
      <c r="E32">
        <v>375</v>
      </c>
    </row>
    <row r="33" spans="1:5" ht="12.75">
      <c r="A33" t="s">
        <v>22</v>
      </c>
      <c r="E33">
        <v>800</v>
      </c>
    </row>
    <row r="34" spans="1:5" ht="12.75">
      <c r="A34" t="s">
        <v>56</v>
      </c>
      <c r="E34">
        <v>125</v>
      </c>
    </row>
    <row r="35" spans="1:5" ht="12.75">
      <c r="A35" t="s">
        <v>23</v>
      </c>
      <c r="E35">
        <v>500</v>
      </c>
    </row>
    <row r="36" spans="1:5" ht="12.75">
      <c r="A36" t="s">
        <v>24</v>
      </c>
      <c r="E36">
        <v>100</v>
      </c>
    </row>
    <row r="37" spans="1:5" ht="12.75">
      <c r="A37" t="s">
        <v>41</v>
      </c>
      <c r="E37">
        <v>500</v>
      </c>
    </row>
    <row r="38" spans="1:5" ht="12.75">
      <c r="A38" t="s">
        <v>42</v>
      </c>
      <c r="E38">
        <v>150</v>
      </c>
    </row>
    <row r="39" spans="1:5" ht="12.75">
      <c r="A39" t="s">
        <v>28</v>
      </c>
      <c r="E39">
        <v>7500</v>
      </c>
    </row>
    <row r="40" spans="1:5" ht="12.75">
      <c r="A40" t="s">
        <v>29</v>
      </c>
      <c r="E40">
        <v>800</v>
      </c>
    </row>
    <row r="41" spans="1:5" ht="12.75">
      <c r="A41" t="s">
        <v>43</v>
      </c>
      <c r="E41">
        <v>50</v>
      </c>
    </row>
    <row r="42" spans="1:5" ht="12.75">
      <c r="A42" t="s">
        <v>44</v>
      </c>
      <c r="E42">
        <v>125</v>
      </c>
    </row>
    <row r="46" spans="1:3" ht="12.75">
      <c r="A46" t="s">
        <v>94</v>
      </c>
      <c r="C46" t="s">
        <v>95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18</v>
      </c>
    </row>
    <row r="2" spans="5:7" ht="12.75">
      <c r="E2" t="s">
        <v>19</v>
      </c>
      <c r="F2" t="s">
        <v>20</v>
      </c>
      <c r="G2" t="s">
        <v>14</v>
      </c>
    </row>
    <row r="3" spans="5:7" ht="12.75">
      <c r="E3" s="2"/>
      <c r="F3" s="2"/>
      <c r="G3" s="2"/>
    </row>
    <row r="4" spans="1:7" ht="12.75">
      <c r="A4" s="3" t="s">
        <v>27</v>
      </c>
      <c r="E4" s="2"/>
      <c r="F4" s="2"/>
      <c r="G4" s="2"/>
    </row>
    <row r="5" spans="1:7" ht="12.75">
      <c r="A5" t="s">
        <v>25</v>
      </c>
      <c r="E5" s="2">
        <f>+'Antal dyr '!F13</f>
        <v>963</v>
      </c>
      <c r="F5" s="2">
        <f>+'Antal dyr '!E39</f>
        <v>7500</v>
      </c>
      <c r="G5" s="2">
        <f>+F5*E5</f>
        <v>7222500</v>
      </c>
    </row>
    <row r="6" spans="1:7" ht="12.75">
      <c r="A6" t="s">
        <v>26</v>
      </c>
      <c r="E6" s="2">
        <f>+'Antal dyr '!F14</f>
        <v>9543</v>
      </c>
      <c r="F6" s="2">
        <f>+'Antal dyr '!E40</f>
        <v>800</v>
      </c>
      <c r="G6" s="2">
        <f>+F6*E6</f>
        <v>7634400</v>
      </c>
    </row>
    <row r="7" spans="1:7" ht="12.75">
      <c r="A7" t="s">
        <v>30</v>
      </c>
      <c r="E7" s="2">
        <f>+E5</f>
        <v>963</v>
      </c>
      <c r="F7" s="2">
        <f>+'Antal dyr '!E35+'Antal dyr '!E37</f>
        <v>1000</v>
      </c>
      <c r="G7" s="2">
        <f>+F7*E7</f>
        <v>963000</v>
      </c>
    </row>
    <row r="8" spans="1:7" ht="12.75">
      <c r="A8" t="s">
        <v>30</v>
      </c>
      <c r="E8" s="2">
        <f>+E6</f>
        <v>9543</v>
      </c>
      <c r="F8" s="2">
        <f>+'Antal dyr '!E36+'Antal dyr '!E38</f>
        <v>250</v>
      </c>
      <c r="G8" s="2">
        <f>+F8*E8</f>
        <v>2385750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18205650</v>
      </c>
    </row>
    <row r="10" spans="5:7" ht="12.75">
      <c r="E10" s="2"/>
      <c r="F10" s="2"/>
      <c r="G10" s="2"/>
    </row>
    <row r="11" spans="1:7" ht="12.75">
      <c r="A11" s="3" t="s">
        <v>36</v>
      </c>
      <c r="E11" s="2"/>
      <c r="F11" s="2"/>
      <c r="G11" s="2"/>
    </row>
    <row r="12" spans="1:7" ht="12.75">
      <c r="A12" t="s">
        <v>32</v>
      </c>
      <c r="E12" s="2">
        <f>+'Antal dyr '!G13*'Antal dyr '!E31/52</f>
        <v>1128.0288461538462</v>
      </c>
      <c r="F12" s="2">
        <f>+'Antal dyr '!E32</f>
        <v>375</v>
      </c>
      <c r="G12" s="2">
        <f>+E12*4*F12</f>
        <v>1692043.2692307692</v>
      </c>
    </row>
    <row r="13" spans="1:7" ht="12.75">
      <c r="A13" t="s">
        <v>55</v>
      </c>
      <c r="E13" s="2">
        <f>+E12</f>
        <v>1128.0288461538462</v>
      </c>
      <c r="F13" s="2">
        <f>+'Antal dyr '!E34</f>
        <v>125</v>
      </c>
      <c r="G13" s="2">
        <f>+E13*4*F13</f>
        <v>564014.4230769231</v>
      </c>
    </row>
    <row r="14" spans="1:7" ht="12.75">
      <c r="A14" t="s">
        <v>49</v>
      </c>
      <c r="E14" s="2">
        <f>+'Antal dyr '!G14/13</f>
        <v>876.2307692307693</v>
      </c>
      <c r="F14" s="2">
        <f>+'Antal dyr '!E33</f>
        <v>800</v>
      </c>
      <c r="G14" s="2">
        <f>+E14*2*F14</f>
        <v>1401969.2307692308</v>
      </c>
    </row>
    <row r="15" spans="1:7" ht="12.75">
      <c r="A15" t="s">
        <v>39</v>
      </c>
      <c r="E15" s="2">
        <f>+E12</f>
        <v>1128.0288461538462</v>
      </c>
      <c r="F15" s="2">
        <f>+F21</f>
        <v>50</v>
      </c>
      <c r="G15" s="2">
        <f>+E15*4*F15</f>
        <v>225605.76923076925</v>
      </c>
    </row>
    <row r="16" spans="1:7" ht="12.75">
      <c r="A16" t="s">
        <v>40</v>
      </c>
      <c r="E16" s="2">
        <f>+E14</f>
        <v>876.2307692307693</v>
      </c>
      <c r="F16" s="2">
        <f>+F22</f>
        <v>125</v>
      </c>
      <c r="G16" s="2">
        <f>+E16*2*F16</f>
        <v>219057.6923076923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4102690.3846153845</v>
      </c>
    </row>
    <row r="18" spans="1:7" ht="12.75">
      <c r="A18" t="s">
        <v>33</v>
      </c>
      <c r="E18" s="2">
        <f>+E12</f>
        <v>1128.0288461538462</v>
      </c>
      <c r="F18" s="2">
        <f>+F12</f>
        <v>375</v>
      </c>
      <c r="G18" s="2">
        <f>+E18*F18</f>
        <v>423010.8173076923</v>
      </c>
    </row>
    <row r="19" spans="1:7" ht="12.75">
      <c r="A19" t="s">
        <v>55</v>
      </c>
      <c r="E19" s="2">
        <f>+E18</f>
        <v>1128.0288461538462</v>
      </c>
      <c r="F19" s="2">
        <f>+F13</f>
        <v>125</v>
      </c>
      <c r="G19" s="2">
        <f>+E19*F19</f>
        <v>141003.60576923078</v>
      </c>
    </row>
    <row r="20" spans="1:7" ht="12.75">
      <c r="A20" t="s">
        <v>34</v>
      </c>
      <c r="E20" s="2">
        <f>+E14</f>
        <v>876.2307692307693</v>
      </c>
      <c r="F20" s="2">
        <f>+F14</f>
        <v>800</v>
      </c>
      <c r="G20" s="2">
        <f>+E20*F20</f>
        <v>700984.6153846154</v>
      </c>
    </row>
    <row r="21" spans="1:7" ht="12.75">
      <c r="A21" t="s">
        <v>39</v>
      </c>
      <c r="E21" s="2">
        <f>+E12</f>
        <v>1128.0288461538462</v>
      </c>
      <c r="F21" s="2">
        <f>+'Antal dyr '!E41</f>
        <v>50</v>
      </c>
      <c r="G21" s="2">
        <f>+E21*F21</f>
        <v>56401.44230769231</v>
      </c>
    </row>
    <row r="22" spans="1:7" ht="12.75">
      <c r="A22" t="s">
        <v>40</v>
      </c>
      <c r="E22" s="2">
        <f>+E14</f>
        <v>876.2307692307693</v>
      </c>
      <c r="F22" s="2">
        <f>+'Antal dyr '!E42</f>
        <v>125</v>
      </c>
      <c r="G22" s="2">
        <f>+E22*F22</f>
        <v>109528.84615384616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1430929.326923077</v>
      </c>
    </row>
    <row r="24" spans="1:7" ht="12.75">
      <c r="A24" s="3" t="s">
        <v>35</v>
      </c>
      <c r="E24" s="2"/>
      <c r="F24" s="2"/>
      <c r="G24" s="2"/>
    </row>
    <row r="25" spans="1:7" ht="12.75">
      <c r="A25" t="s">
        <v>32</v>
      </c>
      <c r="E25" s="2">
        <f>+'Antal dyr '!H10*'Antal dyr '!E31/52</f>
        <v>9544.086538461539</v>
      </c>
      <c r="F25" s="2">
        <f>+F12</f>
        <v>375</v>
      </c>
      <c r="G25" s="2">
        <f>+E25*4*F25</f>
        <v>14316129.807692308</v>
      </c>
    </row>
    <row r="26" spans="1:7" ht="12.75">
      <c r="A26" t="s">
        <v>55</v>
      </c>
      <c r="E26" s="2">
        <f>+E25</f>
        <v>9544.086538461539</v>
      </c>
      <c r="F26" s="2">
        <f>+F13</f>
        <v>125</v>
      </c>
      <c r="G26" s="2">
        <f>+E26*4*F26</f>
        <v>4772043.26923077</v>
      </c>
    </row>
    <row r="27" spans="1:7" ht="12.75">
      <c r="A27" t="s">
        <v>49</v>
      </c>
      <c r="E27" s="2">
        <f>+'Antal dyr '!H11/13</f>
        <v>8615.76923076923</v>
      </c>
      <c r="F27" s="2">
        <f>+F14</f>
        <v>800</v>
      </c>
      <c r="G27" s="2">
        <f>+E27*2*F27</f>
        <v>13785230.769230768</v>
      </c>
    </row>
    <row r="28" spans="1:7" ht="12.75">
      <c r="A28" t="s">
        <v>39</v>
      </c>
      <c r="E28" s="2">
        <f>+E25</f>
        <v>9544.086538461539</v>
      </c>
      <c r="F28" s="2">
        <f>+F15</f>
        <v>50</v>
      </c>
      <c r="G28" s="2">
        <f>+E28*4*F28</f>
        <v>1908817.3076923077</v>
      </c>
    </row>
    <row r="29" spans="1:7" ht="12.75">
      <c r="A29" t="s">
        <v>40</v>
      </c>
      <c r="E29" s="2">
        <f>+E27</f>
        <v>8615.76923076923</v>
      </c>
      <c r="F29" s="2">
        <f>+F16</f>
        <v>125</v>
      </c>
      <c r="G29" s="2">
        <f>+E29*2*F29</f>
        <v>2153942.3076923075</v>
      </c>
    </row>
    <row r="30" spans="1:7" ht="12.75">
      <c r="A30" s="3" t="s">
        <v>38</v>
      </c>
      <c r="B30" s="3"/>
      <c r="C30" s="3"/>
      <c r="D30" s="3"/>
      <c r="E30" s="2"/>
      <c r="F30" s="2"/>
      <c r="G30" s="4">
        <f>SUM(G25:G29)</f>
        <v>36936163.46153846</v>
      </c>
    </row>
    <row r="31" spans="1:7" ht="12.75">
      <c r="A31" t="s">
        <v>33</v>
      </c>
      <c r="E31" s="2">
        <f>+E25</f>
        <v>9544.086538461539</v>
      </c>
      <c r="F31" s="2">
        <f>+F25</f>
        <v>375</v>
      </c>
      <c r="G31" s="2">
        <f>+E31*F31</f>
        <v>3579032.451923077</v>
      </c>
    </row>
    <row r="32" spans="1:7" ht="12.75">
      <c r="A32" t="s">
        <v>55</v>
      </c>
      <c r="E32" s="2">
        <f>+E31</f>
        <v>9544.086538461539</v>
      </c>
      <c r="F32" s="2">
        <f>+F26</f>
        <v>125</v>
      </c>
      <c r="G32" s="2">
        <f>+E32*F32</f>
        <v>1193010.8173076925</v>
      </c>
    </row>
    <row r="33" spans="1:7" ht="12.75">
      <c r="A33" t="s">
        <v>34</v>
      </c>
      <c r="E33" s="2">
        <f aca="true" t="shared" si="0" ref="E33:F35">+E27</f>
        <v>8615.76923076923</v>
      </c>
      <c r="F33" s="2">
        <f t="shared" si="0"/>
        <v>800</v>
      </c>
      <c r="G33" s="2">
        <f>+E33*F33</f>
        <v>6892615.384615384</v>
      </c>
    </row>
    <row r="34" spans="1:7" ht="12.75">
      <c r="A34" t="s">
        <v>39</v>
      </c>
      <c r="E34" s="2">
        <f t="shared" si="0"/>
        <v>9544.086538461539</v>
      </c>
      <c r="F34" s="2">
        <f t="shared" si="0"/>
        <v>50</v>
      </c>
      <c r="G34" s="2">
        <f>+E34*F34</f>
        <v>477204.32692307694</v>
      </c>
    </row>
    <row r="35" spans="1:7" ht="12.75">
      <c r="A35" t="s">
        <v>40</v>
      </c>
      <c r="E35" s="2">
        <f t="shared" si="0"/>
        <v>8615.76923076923</v>
      </c>
      <c r="F35" s="2">
        <f t="shared" si="0"/>
        <v>125</v>
      </c>
      <c r="G35" s="2">
        <f>+E35*F35</f>
        <v>1076971.1538461538</v>
      </c>
    </row>
    <row r="36" spans="5:7" ht="12.75">
      <c r="E36" s="2"/>
      <c r="F36" s="2"/>
      <c r="G36" s="4">
        <f>SUM(G31:G35)</f>
        <v>13218834.134615384</v>
      </c>
    </row>
    <row r="37" spans="1:7" ht="12.75">
      <c r="A37" s="3" t="s">
        <v>37</v>
      </c>
      <c r="E37" s="2"/>
      <c r="F37" s="2"/>
      <c r="G37" s="2"/>
    </row>
    <row r="38" spans="1:7" ht="12.75">
      <c r="A38" t="s">
        <v>32</v>
      </c>
      <c r="E38" s="2">
        <f>+'Antal dyr '!I13*'Antal dyr '!E31/52</f>
        <v>68783.31730769231</v>
      </c>
      <c r="F38" s="2">
        <f>+F31</f>
        <v>375</v>
      </c>
      <c r="G38" s="2">
        <f>+E38*F38*4</f>
        <v>103174975.96153846</v>
      </c>
    </row>
    <row r="39" spans="1:7" ht="12.75">
      <c r="A39" t="s">
        <v>55</v>
      </c>
      <c r="E39" s="2">
        <f>+E38</f>
        <v>68783.31730769231</v>
      </c>
      <c r="F39" s="2">
        <f>+F26</f>
        <v>125</v>
      </c>
      <c r="G39" s="2">
        <f>+E39*F39*4</f>
        <v>34391658.65384616</v>
      </c>
    </row>
    <row r="40" spans="1:7" ht="12.75">
      <c r="A40" t="s">
        <v>49</v>
      </c>
      <c r="E40" s="2">
        <f>+'Antal dyr '!I14/13</f>
        <v>66329.07692307692</v>
      </c>
      <c r="F40" s="2">
        <f>+F33</f>
        <v>800</v>
      </c>
      <c r="G40" s="2">
        <f>+E40*F40*2</f>
        <v>106126523.07692307</v>
      </c>
    </row>
    <row r="41" spans="1:7" ht="12.75">
      <c r="A41" t="s">
        <v>39</v>
      </c>
      <c r="E41" s="2">
        <f>+E38</f>
        <v>68783.31730769231</v>
      </c>
      <c r="F41" s="2">
        <f>+F34</f>
        <v>50</v>
      </c>
      <c r="G41" s="2">
        <f>+E41*F41*4</f>
        <v>13756663.461538462</v>
      </c>
    </row>
    <row r="42" spans="1:7" ht="12.75">
      <c r="A42" t="s">
        <v>40</v>
      </c>
      <c r="E42" s="2">
        <f>+E40</f>
        <v>66329.07692307692</v>
      </c>
      <c r="F42" s="2">
        <f>+F41</f>
        <v>50</v>
      </c>
      <c r="G42" s="2">
        <f>+E42*F42*2</f>
        <v>6632907.692307692</v>
      </c>
    </row>
    <row r="43" spans="1:7" ht="12.75">
      <c r="A43" s="3" t="s">
        <v>38</v>
      </c>
      <c r="B43" s="3"/>
      <c r="C43" s="3"/>
      <c r="D43" s="3"/>
      <c r="G43" s="8">
        <f>SUM(G38:G42)</f>
        <v>264082728.84615386</v>
      </c>
    </row>
    <row r="44" spans="1:7" ht="12.75">
      <c r="A44" s="3"/>
      <c r="B44" s="3"/>
      <c r="C44" s="3"/>
      <c r="D44" s="3"/>
      <c r="G44" s="8"/>
    </row>
    <row r="45" ht="12.75">
      <c r="A45" s="3" t="s">
        <v>52</v>
      </c>
    </row>
    <row r="46" spans="1:5" ht="12.75">
      <c r="A46" t="s">
        <v>53</v>
      </c>
      <c r="E46" s="2">
        <f>+'Antal dyr '!I10*'Antal dyr '!E31/52/2</f>
        <v>39163.70192307692</v>
      </c>
    </row>
    <row r="47" spans="1:5" ht="12.75">
      <c r="A47" s="5" t="s">
        <v>54</v>
      </c>
      <c r="E47" s="2">
        <f>+'Antal dyr '!I11/13-E46</f>
        <v>35781.144230769234</v>
      </c>
    </row>
    <row r="48" spans="1:7" ht="12.75">
      <c r="A48" s="5" t="s">
        <v>57</v>
      </c>
      <c r="E48" s="7">
        <f>+E47-E46</f>
        <v>-3382.557692307688</v>
      </c>
      <c r="F48" s="7">
        <f>+F38</f>
        <v>375</v>
      </c>
      <c r="G48" s="10">
        <f>+E48*F48*4</f>
        <v>-5073836.5384615315</v>
      </c>
    </row>
    <row r="49" spans="1:7" ht="12.75">
      <c r="A49" s="5" t="s">
        <v>55</v>
      </c>
      <c r="E49" s="7">
        <f>+E48</f>
        <v>-3382.557692307688</v>
      </c>
      <c r="F49">
        <f>+'Antal dyr '!E34</f>
        <v>125</v>
      </c>
      <c r="G49" s="10">
        <f>+E49*F49*4</f>
        <v>-1691278.846153844</v>
      </c>
    </row>
    <row r="50" spans="1:7" ht="12.75">
      <c r="A50" s="3" t="s">
        <v>38</v>
      </c>
      <c r="E50" s="7"/>
      <c r="G50" s="8">
        <f>SUM(G48:G49)</f>
        <v>-6765115.384615376</v>
      </c>
    </row>
    <row r="51" spans="1:7" ht="12.75">
      <c r="A51" s="5"/>
      <c r="E51" s="7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+G9+G17+G23+G30+G43+G48</f>
        <v>319684325.4807693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50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7" ht="12.75">
      <c r="A5" t="s">
        <v>25</v>
      </c>
      <c r="E5" s="9">
        <f>+'Antal dyr '!F25</f>
        <v>105</v>
      </c>
      <c r="F5" s="9">
        <f>+'Antal dyr '!E39</f>
        <v>7500</v>
      </c>
      <c r="G5" s="9">
        <f>+F5*E5</f>
        <v>787500</v>
      </c>
    </row>
    <row r="6" spans="1:7" ht="12.75">
      <c r="A6" t="s">
        <v>26</v>
      </c>
      <c r="E6" s="9">
        <f>+'Antal dyr '!F26</f>
        <v>1050</v>
      </c>
      <c r="F6" s="9">
        <f>+'Antal dyr '!E40</f>
        <v>800</v>
      </c>
      <c r="G6" s="9">
        <f>+F6*E6</f>
        <v>840000</v>
      </c>
    </row>
    <row r="7" spans="1:7" ht="12.75">
      <c r="A7" t="s">
        <v>30</v>
      </c>
      <c r="E7" s="9">
        <f>+E5</f>
        <v>105</v>
      </c>
      <c r="F7" s="9">
        <f>+'Antal dyr '!E35+'Antal dyr '!E37</f>
        <v>1000</v>
      </c>
      <c r="G7" s="9">
        <f>+F7*E7</f>
        <v>105000</v>
      </c>
    </row>
    <row r="8" spans="1:7" ht="12.75">
      <c r="A8" t="s">
        <v>30</v>
      </c>
      <c r="E8" s="9">
        <f>+E6</f>
        <v>1050</v>
      </c>
      <c r="F8" s="9">
        <f>+'Antal dyr '!E36+'Antal dyr '!E38</f>
        <v>250</v>
      </c>
      <c r="G8" s="9">
        <f>+F8*E8</f>
        <v>262500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1995000</v>
      </c>
    </row>
    <row r="10" spans="5:7" ht="12.75">
      <c r="E10" s="9"/>
      <c r="F10" s="9"/>
      <c r="G10" s="9"/>
    </row>
    <row r="11" spans="1:7" ht="12.75">
      <c r="A11" s="3" t="s">
        <v>36</v>
      </c>
      <c r="E11" s="9"/>
      <c r="F11" s="9"/>
      <c r="G11" s="9"/>
    </row>
    <row r="12" spans="1:7" ht="12.75">
      <c r="A12" t="s">
        <v>32</v>
      </c>
      <c r="E12" s="9">
        <f>+'Antal dyr '!G28*'Antal dyr '!E31/52</f>
        <v>385.52884615384613</v>
      </c>
      <c r="F12" s="9">
        <f>+'Antal dyr '!E32</f>
        <v>375</v>
      </c>
      <c r="G12" s="9">
        <f>+E12*4*F12</f>
        <v>578293.2692307692</v>
      </c>
    </row>
    <row r="13" spans="1:7" ht="12.75">
      <c r="A13" t="s">
        <v>58</v>
      </c>
      <c r="E13" s="9">
        <f>+E12</f>
        <v>385.52884615384613</v>
      </c>
      <c r="F13" s="9">
        <f>+'Antal dyr '!E34</f>
        <v>125</v>
      </c>
      <c r="G13" s="9">
        <f>+E13*4*F13</f>
        <v>192764.42307692306</v>
      </c>
    </row>
    <row r="14" spans="1:7" ht="12.75">
      <c r="A14" t="s">
        <v>49</v>
      </c>
      <c r="E14" s="9">
        <f>+'Antal dyr '!G29/13</f>
        <v>244.30769230769232</v>
      </c>
      <c r="F14" s="9">
        <f>+'Antal dyr '!E33</f>
        <v>800</v>
      </c>
      <c r="G14" s="9">
        <f>+E14*2*F14</f>
        <v>390892.3076923077</v>
      </c>
    </row>
    <row r="15" spans="1:7" ht="12.75">
      <c r="A15" t="s">
        <v>39</v>
      </c>
      <c r="E15" s="9">
        <f>+E12</f>
        <v>385.52884615384613</v>
      </c>
      <c r="F15" s="9">
        <f>+F21</f>
        <v>50</v>
      </c>
      <c r="G15" s="9">
        <f>+E15*4*F15</f>
        <v>77105.76923076922</v>
      </c>
    </row>
    <row r="16" spans="1:7" ht="12.75">
      <c r="A16" t="s">
        <v>40</v>
      </c>
      <c r="E16" s="9">
        <f>+E14</f>
        <v>244.30769230769232</v>
      </c>
      <c r="F16" s="9">
        <f>+F22</f>
        <v>125</v>
      </c>
      <c r="G16" s="9">
        <f>+E16*2*F16</f>
        <v>61076.92307692308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1300132.6923076923</v>
      </c>
    </row>
    <row r="18" spans="1:7" ht="12.75">
      <c r="A18" t="s">
        <v>33</v>
      </c>
      <c r="E18" s="9">
        <f>+E12</f>
        <v>385.52884615384613</v>
      </c>
      <c r="F18" s="9">
        <f>+F12</f>
        <v>375</v>
      </c>
      <c r="G18" s="9">
        <f>+E18*F18</f>
        <v>144573.3173076923</v>
      </c>
    </row>
    <row r="19" spans="1:7" ht="12.75">
      <c r="A19" t="s">
        <v>58</v>
      </c>
      <c r="E19" s="9">
        <f>+E18</f>
        <v>385.52884615384613</v>
      </c>
      <c r="F19" s="9">
        <f>+F13</f>
        <v>125</v>
      </c>
      <c r="G19" s="9">
        <f>+E19*F19</f>
        <v>48191.105769230766</v>
      </c>
    </row>
    <row r="20" spans="1:7" ht="12.75">
      <c r="A20" t="s">
        <v>34</v>
      </c>
      <c r="E20" s="9">
        <f>+E14</f>
        <v>244.30769230769232</v>
      </c>
      <c r="F20" s="9">
        <f>+F14</f>
        <v>800</v>
      </c>
      <c r="G20" s="9">
        <f>+E20*F20</f>
        <v>195446.15384615384</v>
      </c>
    </row>
    <row r="21" spans="1:7" ht="12.75">
      <c r="A21" t="s">
        <v>39</v>
      </c>
      <c r="E21" s="9">
        <f>+E12</f>
        <v>385.52884615384613</v>
      </c>
      <c r="F21" s="9">
        <f>+'Antal dyr '!E41</f>
        <v>50</v>
      </c>
      <c r="G21" s="9">
        <f>+E21*F21</f>
        <v>19276.442307692305</v>
      </c>
    </row>
    <row r="22" spans="1:7" ht="12.75">
      <c r="A22" t="s">
        <v>40</v>
      </c>
      <c r="E22" s="9">
        <f>+E14</f>
        <v>244.30769230769232</v>
      </c>
      <c r="F22" s="9">
        <f>+'Antal dyr '!E42</f>
        <v>125</v>
      </c>
      <c r="G22" s="9">
        <f>+E22*F22</f>
        <v>30538.46153846154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438025.48076923075</v>
      </c>
    </row>
    <row r="24" spans="1:7" ht="12.75">
      <c r="A24" s="3" t="s">
        <v>35</v>
      </c>
      <c r="E24" s="9"/>
      <c r="F24" s="9"/>
      <c r="G24" s="9"/>
    </row>
    <row r="25" spans="1:7" ht="12.75">
      <c r="A25" t="s">
        <v>32</v>
      </c>
      <c r="E25" s="9">
        <f>+'Antal dyr '!H28*'Antal dyr '!E31/52</f>
        <v>4799.278846153846</v>
      </c>
      <c r="F25" s="9">
        <f>+F12</f>
        <v>375</v>
      </c>
      <c r="G25" s="9">
        <f>+E25*4*F25</f>
        <v>7198918.269230769</v>
      </c>
    </row>
    <row r="26" spans="1:7" ht="12.75">
      <c r="A26" t="s">
        <v>58</v>
      </c>
      <c r="E26" s="9">
        <f>+E25</f>
        <v>4799.278846153846</v>
      </c>
      <c r="F26" s="9">
        <f>+F13</f>
        <v>125</v>
      </c>
      <c r="G26" s="9">
        <f>+E26*4*F26</f>
        <v>2399639.423076923</v>
      </c>
    </row>
    <row r="27" spans="1:7" ht="12.75">
      <c r="A27" t="s">
        <v>49</v>
      </c>
      <c r="E27" s="9">
        <f>+'Antal dyr '!H29/13</f>
        <v>2541.6923076923076</v>
      </c>
      <c r="F27" s="9">
        <f>+F14</f>
        <v>800</v>
      </c>
      <c r="G27" s="9">
        <f>+E27*2*F27</f>
        <v>4066707.692307692</v>
      </c>
    </row>
    <row r="28" spans="1:7" ht="12.75">
      <c r="A28" t="s">
        <v>39</v>
      </c>
      <c r="E28" s="9">
        <f>+E25</f>
        <v>4799.278846153846</v>
      </c>
      <c r="F28" s="9">
        <f>+F15</f>
        <v>50</v>
      </c>
      <c r="G28" s="9">
        <f>+E28*4*F28</f>
        <v>959855.7692307691</v>
      </c>
    </row>
    <row r="29" spans="1:7" ht="12.75">
      <c r="A29" t="s">
        <v>40</v>
      </c>
      <c r="E29" s="9">
        <f>+E27</f>
        <v>2541.6923076923076</v>
      </c>
      <c r="F29" s="9">
        <f>+F16</f>
        <v>125</v>
      </c>
      <c r="G29" s="9">
        <f>+E29*2*F29</f>
        <v>635423.0769230769</v>
      </c>
    </row>
    <row r="30" spans="1:7" ht="12.75">
      <c r="A30" s="3" t="s">
        <v>38</v>
      </c>
      <c r="B30" s="3"/>
      <c r="C30" s="3"/>
      <c r="D30" s="3"/>
      <c r="E30" s="9"/>
      <c r="F30" s="9"/>
      <c r="G30" s="4">
        <f>SUM(G25:G29)</f>
        <v>15260544.23076923</v>
      </c>
    </row>
    <row r="31" spans="1:7" ht="12.75">
      <c r="A31" t="s">
        <v>33</v>
      </c>
      <c r="E31" s="9">
        <f>+E25</f>
        <v>4799.278846153846</v>
      </c>
      <c r="F31" s="9">
        <f>+F25</f>
        <v>375</v>
      </c>
      <c r="G31" s="9">
        <f>+E31*F31</f>
        <v>1799729.5673076923</v>
      </c>
    </row>
    <row r="32" spans="1:7" ht="12.75">
      <c r="A32" t="s">
        <v>58</v>
      </c>
      <c r="E32" s="9">
        <f>+E31</f>
        <v>4799.278846153846</v>
      </c>
      <c r="F32" s="9">
        <f>+F13</f>
        <v>125</v>
      </c>
      <c r="G32" s="9">
        <f>+E32*F32</f>
        <v>599909.8557692308</v>
      </c>
    </row>
    <row r="33" spans="1:7" ht="12.75">
      <c r="A33" t="s">
        <v>34</v>
      </c>
      <c r="E33" s="9">
        <f aca="true" t="shared" si="0" ref="E33:F35">+E27</f>
        <v>2541.6923076923076</v>
      </c>
      <c r="F33" s="9">
        <f t="shared" si="0"/>
        <v>800</v>
      </c>
      <c r="G33" s="9">
        <f>+E33*F33</f>
        <v>2033353.846153846</v>
      </c>
    </row>
    <row r="34" spans="1:7" ht="12.75">
      <c r="A34" t="s">
        <v>39</v>
      </c>
      <c r="E34" s="9">
        <f t="shared" si="0"/>
        <v>4799.278846153846</v>
      </c>
      <c r="F34" s="9">
        <f t="shared" si="0"/>
        <v>50</v>
      </c>
      <c r="G34" s="9">
        <f>+E34*F34</f>
        <v>239963.94230769228</v>
      </c>
    </row>
    <row r="35" spans="1:7" ht="12.75">
      <c r="A35" t="s">
        <v>40</v>
      </c>
      <c r="E35" s="9">
        <f t="shared" si="0"/>
        <v>2541.6923076923076</v>
      </c>
      <c r="F35" s="9">
        <f t="shared" si="0"/>
        <v>125</v>
      </c>
      <c r="G35" s="9">
        <f>+E35*F35</f>
        <v>317711.53846153844</v>
      </c>
    </row>
    <row r="36" spans="5:7" ht="12.75">
      <c r="E36" s="9"/>
      <c r="F36" s="9"/>
      <c r="G36" s="4">
        <f>SUM(G31:G35)</f>
        <v>4990668.749999999</v>
      </c>
    </row>
    <row r="37" spans="1:7" ht="12.75">
      <c r="A37" s="3" t="s">
        <v>37</v>
      </c>
      <c r="E37" s="9"/>
      <c r="F37" s="9"/>
      <c r="G37" s="9"/>
    </row>
    <row r="38" spans="1:7" ht="12.75">
      <c r="A38" t="s">
        <v>32</v>
      </c>
      <c r="E38" s="9">
        <f>+'Antal dyr '!I28*'Antal dyr '!E31/52</f>
        <v>28800.96153846154</v>
      </c>
      <c r="F38" s="9">
        <f>+F31</f>
        <v>375</v>
      </c>
      <c r="G38" s="9">
        <f>+E38*F38*4</f>
        <v>43201442.30769231</v>
      </c>
    </row>
    <row r="39" spans="1:7" ht="12.75">
      <c r="A39" t="s">
        <v>58</v>
      </c>
      <c r="E39" s="9">
        <f>+E38</f>
        <v>28800.96153846154</v>
      </c>
      <c r="F39" s="9">
        <f>+F13</f>
        <v>125</v>
      </c>
      <c r="G39" s="9">
        <f>+E39*F39*4</f>
        <v>14400480.76923077</v>
      </c>
    </row>
    <row r="40" spans="1:7" ht="12.75">
      <c r="A40" t="s">
        <v>49</v>
      </c>
      <c r="E40" s="9">
        <f>+'Antal dyr '!I29/13</f>
        <v>25192.30769230769</v>
      </c>
      <c r="F40" s="9">
        <f>+F33</f>
        <v>800</v>
      </c>
      <c r="G40" s="9">
        <f>+E40*F40*2</f>
        <v>40307692.307692304</v>
      </c>
    </row>
    <row r="41" spans="1:7" ht="12.75">
      <c r="A41" t="s">
        <v>39</v>
      </c>
      <c r="E41" s="9">
        <f>+E38</f>
        <v>28800.96153846154</v>
      </c>
      <c r="F41" s="9">
        <f>+F34</f>
        <v>50</v>
      </c>
      <c r="G41" s="9">
        <f>+E41*F41*4</f>
        <v>5760192.307692308</v>
      </c>
    </row>
    <row r="42" spans="1:7" ht="12.75">
      <c r="A42" t="s">
        <v>40</v>
      </c>
      <c r="E42" s="9">
        <f>+E40</f>
        <v>25192.30769230769</v>
      </c>
      <c r="F42" s="9">
        <f>+F41</f>
        <v>50</v>
      </c>
      <c r="G42" s="9">
        <f>+E42*F42*2</f>
        <v>2519230.769230769</v>
      </c>
    </row>
    <row r="43" spans="1:7" ht="12.75">
      <c r="A43" s="3" t="s">
        <v>38</v>
      </c>
      <c r="B43" s="3"/>
      <c r="C43" s="3"/>
      <c r="D43" s="3"/>
      <c r="G43" s="8">
        <f>SUM(G38:G42)</f>
        <v>106189038.46153846</v>
      </c>
    </row>
    <row r="45" ht="12.75">
      <c r="A45" s="3" t="s">
        <v>52</v>
      </c>
    </row>
    <row r="46" spans="1:5" ht="12.75">
      <c r="A46" t="s">
        <v>53</v>
      </c>
      <c r="E46" s="2">
        <f>+'Antal dyr '!I25*'Antal dyr '!E31/52</f>
        <v>34041.29807692308</v>
      </c>
    </row>
    <row r="47" spans="1:5" ht="12.75">
      <c r="A47" s="5" t="s">
        <v>54</v>
      </c>
      <c r="E47" s="2">
        <f>+'Antal dyr '!I26/13</f>
        <v>28059.076923076922</v>
      </c>
    </row>
    <row r="48" spans="1:7" ht="12.75">
      <c r="A48" s="5" t="s">
        <v>57</v>
      </c>
      <c r="E48" s="7">
        <f>+E47-E46</f>
        <v>-5982.221153846156</v>
      </c>
      <c r="F48">
        <v>0</v>
      </c>
      <c r="G48" s="2">
        <f>+E48*F48</f>
        <v>0</v>
      </c>
    </row>
    <row r="49" spans="1:7" ht="12.75">
      <c r="A49" s="5" t="s">
        <v>55</v>
      </c>
      <c r="E49" s="7">
        <f>+E48</f>
        <v>-5982.221153846156</v>
      </c>
      <c r="F49">
        <v>0</v>
      </c>
      <c r="G49" s="2">
        <f>+E49*F49</f>
        <v>0</v>
      </c>
    </row>
    <row r="50" spans="1:7" ht="12.75">
      <c r="A50" s="3" t="s">
        <v>38</v>
      </c>
      <c r="B50" s="3"/>
      <c r="C50" s="3"/>
      <c r="D50" s="3"/>
      <c r="E50" s="3"/>
      <c r="F50" s="3"/>
      <c r="G50" s="8">
        <f>SUM(G48:G49)</f>
        <v>0</v>
      </c>
    </row>
    <row r="51" spans="1:7" ht="12.75">
      <c r="A51" s="3"/>
      <c r="B51" s="3"/>
      <c r="C51" s="3"/>
      <c r="D51" s="3"/>
      <c r="E51" s="3"/>
      <c r="F51" s="3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+G9+G17+G23+G30+G36+G43+G50</f>
        <v>130173409.61538461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  <col min="11" max="11" width="12.8515625" style="0" customWidth="1"/>
  </cols>
  <sheetData>
    <row r="1" spans="1:9" ht="12.75">
      <c r="A1" t="s">
        <v>68</v>
      </c>
      <c r="I1" t="s">
        <v>69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11" ht="12.75">
      <c r="A5" t="s">
        <v>25</v>
      </c>
      <c r="E5" s="9">
        <f>+('Antal dyr '!F25+'Viborg amt'!E5)/2</f>
        <v>534</v>
      </c>
      <c r="F5" s="9">
        <f>+'Antal dyr '!E39</f>
        <v>7500</v>
      </c>
      <c r="G5" s="9">
        <f>+F5*E5</f>
        <v>4005000</v>
      </c>
      <c r="I5" s="9">
        <f>+E5</f>
        <v>534</v>
      </c>
      <c r="J5" s="9">
        <f>+F5</f>
        <v>7500</v>
      </c>
      <c r="K5" s="9">
        <f>+J5*I5</f>
        <v>4005000</v>
      </c>
    </row>
    <row r="6" spans="1:11" ht="12.75">
      <c r="A6" t="s">
        <v>26</v>
      </c>
      <c r="E6" s="9">
        <f>+('Antal dyr '!F26+'Viborg amt'!E6)/2</f>
        <v>5296.5</v>
      </c>
      <c r="F6" s="9">
        <f>+'Antal dyr '!E40</f>
        <v>800</v>
      </c>
      <c r="G6" s="9">
        <f>+F6*E6</f>
        <v>4237200</v>
      </c>
      <c r="I6" s="9">
        <f aca="true" t="shared" si="0" ref="I6:I52">+E6</f>
        <v>5296.5</v>
      </c>
      <c r="J6" s="9">
        <f aca="true" t="shared" si="1" ref="J6:J49">+F6</f>
        <v>800</v>
      </c>
      <c r="K6" s="9">
        <f>+J6*I6</f>
        <v>4237200</v>
      </c>
    </row>
    <row r="7" spans="1:11" ht="12.75">
      <c r="A7" t="s">
        <v>30</v>
      </c>
      <c r="E7" s="9">
        <f>+E5</f>
        <v>534</v>
      </c>
      <c r="F7" s="9">
        <f>+'Antal dyr '!E35+'Antal dyr '!E37</f>
        <v>1000</v>
      </c>
      <c r="G7" s="9">
        <f>+F7*E7</f>
        <v>534000</v>
      </c>
      <c r="I7" s="9">
        <f t="shared" si="0"/>
        <v>534</v>
      </c>
      <c r="J7" s="9">
        <f t="shared" si="1"/>
        <v>1000</v>
      </c>
      <c r="K7" s="9">
        <f>+J7*I7</f>
        <v>534000</v>
      </c>
    </row>
    <row r="8" spans="1:11" ht="12.75">
      <c r="A8" t="s">
        <v>30</v>
      </c>
      <c r="E8" s="9">
        <f>+E6</f>
        <v>5296.5</v>
      </c>
      <c r="F8" s="9">
        <f>+'Antal dyr '!E36+'Antal dyr '!E38</f>
        <v>250</v>
      </c>
      <c r="G8" s="9">
        <f>+F8*E8</f>
        <v>1324125</v>
      </c>
      <c r="I8" s="9">
        <f t="shared" si="0"/>
        <v>5296.5</v>
      </c>
      <c r="J8" s="9">
        <f t="shared" si="1"/>
        <v>250</v>
      </c>
      <c r="K8" s="9">
        <f>+J8*I8</f>
        <v>1324125</v>
      </c>
    </row>
    <row r="9" spans="1:11" ht="12.75">
      <c r="A9" s="3" t="s">
        <v>31</v>
      </c>
      <c r="B9" s="3"/>
      <c r="C9" s="3"/>
      <c r="D9" s="3"/>
      <c r="E9" s="4"/>
      <c r="F9" s="4"/>
      <c r="G9" s="4">
        <f>SUM(G5:G8)</f>
        <v>10100325</v>
      </c>
      <c r="I9" s="9">
        <f t="shared" si="0"/>
        <v>0</v>
      </c>
      <c r="J9" s="9">
        <f t="shared" si="1"/>
        <v>0</v>
      </c>
      <c r="K9" s="4">
        <f>SUM(K5:K8)</f>
        <v>10100325</v>
      </c>
    </row>
    <row r="10" spans="5:11" ht="12.75">
      <c r="E10" s="9"/>
      <c r="F10" s="9"/>
      <c r="G10" s="9"/>
      <c r="I10" s="9">
        <f t="shared" si="0"/>
        <v>0</v>
      </c>
      <c r="J10" s="9">
        <f t="shared" si="1"/>
        <v>0</v>
      </c>
      <c r="K10" s="9"/>
    </row>
    <row r="11" spans="1:11" ht="12.75">
      <c r="A11" s="3" t="s">
        <v>36</v>
      </c>
      <c r="E11" s="9"/>
      <c r="F11" s="9"/>
      <c r="G11" s="9"/>
      <c r="I11" s="9">
        <f t="shared" si="0"/>
        <v>0</v>
      </c>
      <c r="J11" s="9">
        <f t="shared" si="1"/>
        <v>0</v>
      </c>
      <c r="K11" s="9"/>
    </row>
    <row r="12" spans="1:11" ht="12.75">
      <c r="A12" t="s">
        <v>32</v>
      </c>
      <c r="E12" s="9">
        <f>+('Antal dyr '!G13+'Antal dyr '!G28)/2*'Antal dyr '!E31/52</f>
        <v>756.7788461538462</v>
      </c>
      <c r="F12" s="9">
        <f>+'Antal dyr '!E32</f>
        <v>375</v>
      </c>
      <c r="G12" s="9">
        <f>+E12*4*F12</f>
        <v>1135168.2692307692</v>
      </c>
      <c r="I12" s="9">
        <f t="shared" si="0"/>
        <v>756.7788461538462</v>
      </c>
      <c r="J12" s="9">
        <f t="shared" si="1"/>
        <v>375</v>
      </c>
      <c r="K12" s="9">
        <f>+I12*4*J12</f>
        <v>1135168.2692307692</v>
      </c>
    </row>
    <row r="13" spans="1:11" ht="12.75">
      <c r="A13" t="s">
        <v>58</v>
      </c>
      <c r="E13" s="9">
        <f>+E12</f>
        <v>756.7788461538462</v>
      </c>
      <c r="F13" s="9">
        <f>+'Antal dyr '!E34</f>
        <v>125</v>
      </c>
      <c r="G13" s="9">
        <f>+E13*4*F13</f>
        <v>378389.4230769231</v>
      </c>
      <c r="I13" s="9">
        <f t="shared" si="0"/>
        <v>756.7788461538462</v>
      </c>
      <c r="J13" s="9">
        <f t="shared" si="1"/>
        <v>125</v>
      </c>
      <c r="K13" s="9">
        <f>+I13*4*J13</f>
        <v>378389.4230769231</v>
      </c>
    </row>
    <row r="14" spans="1:11" ht="12.75">
      <c r="A14" t="s">
        <v>49</v>
      </c>
      <c r="E14" s="9">
        <f>+('Antal dyr '!G14+'Antal dyr '!G29)/2/13</f>
        <v>560.2692307692307</v>
      </c>
      <c r="F14" s="9">
        <f>+'Antal dyr '!E33</f>
        <v>800</v>
      </c>
      <c r="G14" s="9">
        <f>+E14*2*F14</f>
        <v>896430.7692307691</v>
      </c>
      <c r="I14" s="9">
        <f t="shared" si="0"/>
        <v>560.2692307692307</v>
      </c>
      <c r="J14" s="9">
        <f t="shared" si="1"/>
        <v>800</v>
      </c>
      <c r="K14" s="9">
        <f>+I14*2*J14</f>
        <v>896430.7692307691</v>
      </c>
    </row>
    <row r="15" spans="1:11" ht="12.75">
      <c r="A15" t="s">
        <v>39</v>
      </c>
      <c r="E15" s="9">
        <f>+E12</f>
        <v>756.7788461538462</v>
      </c>
      <c r="F15" s="9">
        <f>+F21</f>
        <v>50</v>
      </c>
      <c r="G15" s="9">
        <f>+E15*4*F15</f>
        <v>151355.76923076925</v>
      </c>
      <c r="I15" s="9">
        <f t="shared" si="0"/>
        <v>756.7788461538462</v>
      </c>
      <c r="J15" s="9">
        <f t="shared" si="1"/>
        <v>50</v>
      </c>
      <c r="K15" s="9">
        <f>+I15*4*J15</f>
        <v>151355.76923076925</v>
      </c>
    </row>
    <row r="16" spans="1:11" ht="12.75">
      <c r="A16" t="s">
        <v>40</v>
      </c>
      <c r="E16" s="9">
        <f>+E14</f>
        <v>560.2692307692307</v>
      </c>
      <c r="F16" s="9">
        <f>+F22</f>
        <v>125</v>
      </c>
      <c r="G16" s="9">
        <f>+E16*2*F16</f>
        <v>140067.3076923077</v>
      </c>
      <c r="I16" s="9">
        <f t="shared" si="0"/>
        <v>560.2692307692307</v>
      </c>
      <c r="J16" s="9">
        <f t="shared" si="1"/>
        <v>125</v>
      </c>
      <c r="K16" s="9">
        <f>+I16*2*J16</f>
        <v>140067.3076923077</v>
      </c>
    </row>
    <row r="17" spans="1:11" ht="12.75">
      <c r="A17" s="3" t="s">
        <v>38</v>
      </c>
      <c r="B17" s="3"/>
      <c r="C17" s="3"/>
      <c r="D17" s="3"/>
      <c r="E17" s="4"/>
      <c r="F17" s="4"/>
      <c r="G17" s="4">
        <f>SUM(G12:G16)</f>
        <v>2701411.5384615385</v>
      </c>
      <c r="I17" s="9">
        <f t="shared" si="0"/>
        <v>0</v>
      </c>
      <c r="J17" s="9">
        <f t="shared" si="1"/>
        <v>0</v>
      </c>
      <c r="K17" s="4">
        <f>SUM(K12:K16)</f>
        <v>2701411.5384615385</v>
      </c>
    </row>
    <row r="18" spans="1:11" ht="12.75">
      <c r="A18" t="s">
        <v>33</v>
      </c>
      <c r="E18" s="9">
        <f>+E12</f>
        <v>756.7788461538462</v>
      </c>
      <c r="F18" s="9">
        <f>+F12</f>
        <v>375</v>
      </c>
      <c r="G18" s="9">
        <f>+E18*F18</f>
        <v>283792.0673076923</v>
      </c>
      <c r="I18" s="9">
        <f t="shared" si="0"/>
        <v>756.7788461538462</v>
      </c>
      <c r="J18" s="9">
        <f t="shared" si="1"/>
        <v>375</v>
      </c>
      <c r="K18" s="9">
        <f>+I18*J18</f>
        <v>283792.0673076923</v>
      </c>
    </row>
    <row r="19" spans="1:11" ht="12.75">
      <c r="A19" t="s">
        <v>58</v>
      </c>
      <c r="E19" s="9">
        <f>+E18</f>
        <v>756.7788461538462</v>
      </c>
      <c r="F19" s="9">
        <f>+F13</f>
        <v>125</v>
      </c>
      <c r="G19" s="9">
        <f>+E19*F19</f>
        <v>94597.35576923078</v>
      </c>
      <c r="I19" s="9">
        <f t="shared" si="0"/>
        <v>756.7788461538462</v>
      </c>
      <c r="J19" s="9">
        <f t="shared" si="1"/>
        <v>125</v>
      </c>
      <c r="K19" s="9">
        <f>+I19*J19</f>
        <v>94597.35576923078</v>
      </c>
    </row>
    <row r="20" spans="1:11" ht="12.75">
      <c r="A20" t="s">
        <v>34</v>
      </c>
      <c r="E20" s="9">
        <f>+E14</f>
        <v>560.2692307692307</v>
      </c>
      <c r="F20" s="9">
        <f>+F14</f>
        <v>800</v>
      </c>
      <c r="G20" s="9">
        <f>+E20*F20</f>
        <v>448215.38461538457</v>
      </c>
      <c r="I20" s="9">
        <f t="shared" si="0"/>
        <v>560.2692307692307</v>
      </c>
      <c r="J20" s="9">
        <f t="shared" si="1"/>
        <v>800</v>
      </c>
      <c r="K20" s="9">
        <f>+I20*J20</f>
        <v>448215.38461538457</v>
      </c>
    </row>
    <row r="21" spans="1:11" ht="12.75">
      <c r="A21" t="s">
        <v>39</v>
      </c>
      <c r="E21" s="9">
        <f>+E12</f>
        <v>756.7788461538462</v>
      </c>
      <c r="F21" s="9">
        <f>+'Antal dyr '!E41</f>
        <v>50</v>
      </c>
      <c r="G21" s="9">
        <f>+E21*F21</f>
        <v>37838.94230769231</v>
      </c>
      <c r="I21" s="9">
        <f t="shared" si="0"/>
        <v>756.7788461538462</v>
      </c>
      <c r="J21" s="9">
        <f t="shared" si="1"/>
        <v>50</v>
      </c>
      <c r="K21" s="9">
        <f>+I21*J21</f>
        <v>37838.94230769231</v>
      </c>
    </row>
    <row r="22" spans="1:11" ht="12.75">
      <c r="A22" t="s">
        <v>40</v>
      </c>
      <c r="E22" s="9">
        <f>+E14</f>
        <v>560.2692307692307</v>
      </c>
      <c r="F22" s="9">
        <f>+'Antal dyr '!E42</f>
        <v>125</v>
      </c>
      <c r="G22" s="9">
        <f>+E22*F22</f>
        <v>70033.65384615384</v>
      </c>
      <c r="I22" s="9">
        <f t="shared" si="0"/>
        <v>560.2692307692307</v>
      </c>
      <c r="J22" s="9">
        <f t="shared" si="1"/>
        <v>125</v>
      </c>
      <c r="K22" s="9">
        <f>+I22*J22</f>
        <v>70033.65384615384</v>
      </c>
    </row>
    <row r="23" spans="1:11" ht="12.75">
      <c r="A23" s="3" t="s">
        <v>38</v>
      </c>
      <c r="B23" s="3"/>
      <c r="C23" s="3"/>
      <c r="D23" s="3"/>
      <c r="E23" s="4"/>
      <c r="F23" s="4"/>
      <c r="G23" s="4">
        <f>SUM(G18:G22)</f>
        <v>934477.4038461539</v>
      </c>
      <c r="I23" s="9">
        <f t="shared" si="0"/>
        <v>0</v>
      </c>
      <c r="J23" s="9">
        <f t="shared" si="1"/>
        <v>0</v>
      </c>
      <c r="K23" s="4">
        <f>SUM(K18:K22)</f>
        <v>934477.4038461539</v>
      </c>
    </row>
    <row r="24" spans="1:11" ht="12.75">
      <c r="A24" s="3" t="s">
        <v>35</v>
      </c>
      <c r="E24" s="9"/>
      <c r="F24" s="9"/>
      <c r="G24" s="9"/>
      <c r="I24" s="9">
        <f t="shared" si="0"/>
        <v>0</v>
      </c>
      <c r="J24" s="9">
        <f t="shared" si="1"/>
        <v>0</v>
      </c>
      <c r="K24" s="9"/>
    </row>
    <row r="25" spans="1:11" ht="12.75">
      <c r="A25" t="s">
        <v>32</v>
      </c>
      <c r="E25" s="9">
        <f>+('Antal dyr '!H13+'Antal dyr '!H28)/2*'Antal dyr '!E31/52</f>
        <v>6353.028846153846</v>
      </c>
      <c r="F25" s="9">
        <f>+F12</f>
        <v>375</v>
      </c>
      <c r="G25" s="9">
        <f>+E25*4*F25</f>
        <v>9529543.269230768</v>
      </c>
      <c r="I25" s="9">
        <f t="shared" si="0"/>
        <v>6353.028846153846</v>
      </c>
      <c r="J25" s="9">
        <f t="shared" si="1"/>
        <v>375</v>
      </c>
      <c r="K25" s="9">
        <f>+I25*4*J25</f>
        <v>9529543.269230768</v>
      </c>
    </row>
    <row r="26" spans="1:11" ht="12.75">
      <c r="A26" t="s">
        <v>58</v>
      </c>
      <c r="E26" s="9">
        <f>+E25</f>
        <v>6353.028846153846</v>
      </c>
      <c r="F26" s="9">
        <f>+F13</f>
        <v>125</v>
      </c>
      <c r="G26" s="9">
        <f>+E26*4*F26</f>
        <v>3176514.423076923</v>
      </c>
      <c r="I26" s="9">
        <f t="shared" si="0"/>
        <v>6353.028846153846</v>
      </c>
      <c r="J26" s="9">
        <f t="shared" si="1"/>
        <v>125</v>
      </c>
      <c r="K26" s="9">
        <f>+I26*4*J26</f>
        <v>3176514.423076923</v>
      </c>
    </row>
    <row r="27" spans="1:11" ht="12.75">
      <c r="A27" t="s">
        <v>49</v>
      </c>
      <c r="E27" s="9">
        <f>+('Antal dyr '!H14+'Antal dyr '!H29)/2/13</f>
        <v>4773.576923076923</v>
      </c>
      <c r="F27" s="9">
        <f>+F14</f>
        <v>800</v>
      </c>
      <c r="G27" s="9">
        <f>+E27*2*F27</f>
        <v>7637723.076923077</v>
      </c>
      <c r="I27" s="9">
        <f t="shared" si="0"/>
        <v>4773.576923076923</v>
      </c>
      <c r="J27" s="9">
        <f t="shared" si="1"/>
        <v>800</v>
      </c>
      <c r="K27" s="9">
        <f>+I27*2*J27</f>
        <v>7637723.076923077</v>
      </c>
    </row>
    <row r="28" spans="1:11" ht="12.75">
      <c r="A28" t="s">
        <v>39</v>
      </c>
      <c r="E28" s="9">
        <f>+E25</f>
        <v>6353.028846153846</v>
      </c>
      <c r="F28" s="9">
        <f>+F15</f>
        <v>50</v>
      </c>
      <c r="G28" s="9">
        <f>+E28*4*F28</f>
        <v>1270605.7692307692</v>
      </c>
      <c r="I28" s="9">
        <f t="shared" si="0"/>
        <v>6353.028846153846</v>
      </c>
      <c r="J28" s="9">
        <f t="shared" si="1"/>
        <v>50</v>
      </c>
      <c r="K28" s="9">
        <f>+I28*4*J28</f>
        <v>1270605.7692307692</v>
      </c>
    </row>
    <row r="29" spans="1:11" ht="12.75">
      <c r="A29" t="s">
        <v>40</v>
      </c>
      <c r="E29" s="9">
        <f>+E27</f>
        <v>4773.576923076923</v>
      </c>
      <c r="F29" s="9">
        <f>+F16</f>
        <v>125</v>
      </c>
      <c r="G29" s="9">
        <f>+E29*2*F29</f>
        <v>1193394.2307692308</v>
      </c>
      <c r="I29" s="9">
        <f t="shared" si="0"/>
        <v>4773.576923076923</v>
      </c>
      <c r="J29" s="9">
        <f t="shared" si="1"/>
        <v>125</v>
      </c>
      <c r="K29" s="9">
        <f>+I29*2*J29</f>
        <v>1193394.2307692308</v>
      </c>
    </row>
    <row r="30" spans="1:11" ht="12.75">
      <c r="A30" s="3" t="s">
        <v>38</v>
      </c>
      <c r="B30" s="3"/>
      <c r="C30" s="3"/>
      <c r="D30" s="3"/>
      <c r="E30" s="9"/>
      <c r="F30" s="9"/>
      <c r="G30" s="4">
        <f>SUM(G25:G29)</f>
        <v>22807780.769230768</v>
      </c>
      <c r="I30" s="9">
        <f t="shared" si="0"/>
        <v>0</v>
      </c>
      <c r="J30" s="9">
        <f t="shared" si="1"/>
        <v>0</v>
      </c>
      <c r="K30" s="4">
        <f>SUM(K25:K29)</f>
        <v>22807780.769230768</v>
      </c>
    </row>
    <row r="31" spans="1:11" ht="12.75">
      <c r="A31" t="s">
        <v>33</v>
      </c>
      <c r="E31" s="9">
        <f>+E25</f>
        <v>6353.028846153846</v>
      </c>
      <c r="F31" s="9">
        <f>+F25</f>
        <v>375</v>
      </c>
      <c r="G31" s="9">
        <f>+E31*F31</f>
        <v>2382385.817307692</v>
      </c>
      <c r="I31" s="9">
        <f t="shared" si="0"/>
        <v>6353.028846153846</v>
      </c>
      <c r="J31" s="9">
        <f t="shared" si="1"/>
        <v>375</v>
      </c>
      <c r="K31" s="9">
        <f>+I31*J31</f>
        <v>2382385.817307692</v>
      </c>
    </row>
    <row r="32" spans="1:11" ht="12.75">
      <c r="A32" t="s">
        <v>58</v>
      </c>
      <c r="E32" s="9">
        <f>+E31</f>
        <v>6353.028846153846</v>
      </c>
      <c r="F32" s="9">
        <f>+F13</f>
        <v>125</v>
      </c>
      <c r="G32" s="9">
        <f>+E32*F32</f>
        <v>794128.6057692308</v>
      </c>
      <c r="I32" s="9">
        <f t="shared" si="0"/>
        <v>6353.028846153846</v>
      </c>
      <c r="J32" s="9">
        <f t="shared" si="1"/>
        <v>125</v>
      </c>
      <c r="K32" s="9">
        <f>+I32*J32</f>
        <v>794128.6057692308</v>
      </c>
    </row>
    <row r="33" spans="1:11" ht="12.75">
      <c r="A33" t="s">
        <v>34</v>
      </c>
      <c r="E33" s="9">
        <f aca="true" t="shared" si="2" ref="E33:F35">+E27</f>
        <v>4773.576923076923</v>
      </c>
      <c r="F33" s="9">
        <f t="shared" si="2"/>
        <v>800</v>
      </c>
      <c r="G33" s="9">
        <f>+E33*F33</f>
        <v>3818861.5384615385</v>
      </c>
      <c r="I33" s="9">
        <f t="shared" si="0"/>
        <v>4773.576923076923</v>
      </c>
      <c r="J33" s="9">
        <f t="shared" si="1"/>
        <v>800</v>
      </c>
      <c r="K33" s="9">
        <f>+I33*J33</f>
        <v>3818861.5384615385</v>
      </c>
    </row>
    <row r="34" spans="1:11" ht="12.75">
      <c r="A34" t="s">
        <v>39</v>
      </c>
      <c r="E34" s="9">
        <f t="shared" si="2"/>
        <v>6353.028846153846</v>
      </c>
      <c r="F34" s="9">
        <f t="shared" si="2"/>
        <v>50</v>
      </c>
      <c r="G34" s="9">
        <f>+E34*F34</f>
        <v>317651.4423076923</v>
      </c>
      <c r="I34" s="9">
        <f t="shared" si="0"/>
        <v>6353.028846153846</v>
      </c>
      <c r="J34" s="9">
        <f t="shared" si="1"/>
        <v>50</v>
      </c>
      <c r="K34" s="9">
        <f>+I34*J34</f>
        <v>317651.4423076923</v>
      </c>
    </row>
    <row r="35" spans="1:11" ht="12.75">
      <c r="A35" t="s">
        <v>40</v>
      </c>
      <c r="E35" s="9">
        <f t="shared" si="2"/>
        <v>4773.576923076923</v>
      </c>
      <c r="F35" s="9">
        <f t="shared" si="2"/>
        <v>125</v>
      </c>
      <c r="G35" s="9">
        <f>+E35*F35</f>
        <v>596697.1153846154</v>
      </c>
      <c r="I35" s="9">
        <f t="shared" si="0"/>
        <v>4773.576923076923</v>
      </c>
      <c r="J35" s="9">
        <f t="shared" si="1"/>
        <v>125</v>
      </c>
      <c r="K35" s="9">
        <f>+I35*J35</f>
        <v>596697.1153846154</v>
      </c>
    </row>
    <row r="36" spans="5:11" ht="12.75">
      <c r="E36" s="9"/>
      <c r="F36" s="9"/>
      <c r="G36" s="4">
        <f>SUM(G31:G35)</f>
        <v>7909724.519230769</v>
      </c>
      <c r="I36" s="9">
        <f t="shared" si="0"/>
        <v>0</v>
      </c>
      <c r="J36" s="9">
        <f t="shared" si="1"/>
        <v>0</v>
      </c>
      <c r="K36" s="4">
        <f>SUM(K31:K35)</f>
        <v>7909724.519230769</v>
      </c>
    </row>
    <row r="37" spans="1:11" ht="12.75">
      <c r="A37" s="3" t="s">
        <v>37</v>
      </c>
      <c r="E37" s="9"/>
      <c r="F37" s="9"/>
      <c r="G37" s="9"/>
      <c r="I37" s="9">
        <f t="shared" si="0"/>
        <v>0</v>
      </c>
      <c r="J37" s="9">
        <f t="shared" si="1"/>
        <v>0</v>
      </c>
      <c r="K37" s="9"/>
    </row>
    <row r="38" spans="1:11" ht="12.75">
      <c r="A38" t="s">
        <v>32</v>
      </c>
      <c r="E38" s="11">
        <f>+('Antal dyr '!I13+'Antal dyr '!I28)/2/52*'Antal dyr '!E31</f>
        <v>48792.13942307692</v>
      </c>
      <c r="F38" s="9">
        <f>+F31</f>
        <v>375</v>
      </c>
      <c r="G38" s="9">
        <f>+E38*F38*4</f>
        <v>73188209.13461538</v>
      </c>
      <c r="I38" s="9">
        <f t="shared" si="0"/>
        <v>48792.13942307692</v>
      </c>
      <c r="J38" s="9">
        <f t="shared" si="1"/>
        <v>375</v>
      </c>
      <c r="K38" s="9">
        <f>+I38*J38*4</f>
        <v>73188209.13461538</v>
      </c>
    </row>
    <row r="39" spans="1:11" ht="12.75">
      <c r="A39" t="s">
        <v>58</v>
      </c>
      <c r="E39" s="9">
        <f>+E38</f>
        <v>48792.13942307692</v>
      </c>
      <c r="F39" s="9">
        <f>+F13</f>
        <v>125</v>
      </c>
      <c r="G39" s="9">
        <f>+E39*F39*4</f>
        <v>24396069.71153846</v>
      </c>
      <c r="I39" s="9">
        <f t="shared" si="0"/>
        <v>48792.13942307692</v>
      </c>
      <c r="J39" s="9">
        <f t="shared" si="1"/>
        <v>125</v>
      </c>
      <c r="K39" s="9">
        <f>+I39*J39*4</f>
        <v>24396069.71153846</v>
      </c>
    </row>
    <row r="40" spans="1:11" ht="12.75">
      <c r="A40" t="s">
        <v>49</v>
      </c>
      <c r="E40" s="9">
        <f>+('Antal dyr '!I14+'Antal dyr '!I29)/2/13</f>
        <v>45760.692307692305</v>
      </c>
      <c r="F40" s="9">
        <f>+F33</f>
        <v>800</v>
      </c>
      <c r="G40" s="9">
        <f>+E40*F40*2</f>
        <v>73217107.69230768</v>
      </c>
      <c r="I40" s="9">
        <f t="shared" si="0"/>
        <v>45760.692307692305</v>
      </c>
      <c r="J40" s="9">
        <f t="shared" si="1"/>
        <v>800</v>
      </c>
      <c r="K40" s="9">
        <f>+I40*J40*2</f>
        <v>73217107.69230768</v>
      </c>
    </row>
    <row r="41" spans="1:11" ht="12.75">
      <c r="A41" t="s">
        <v>39</v>
      </c>
      <c r="E41" s="9">
        <f>+E38</f>
        <v>48792.13942307692</v>
      </c>
      <c r="F41" s="9">
        <f>+F34</f>
        <v>50</v>
      </c>
      <c r="G41" s="9">
        <f>+E41*F41*4</f>
        <v>9758427.884615384</v>
      </c>
      <c r="I41" s="9">
        <f t="shared" si="0"/>
        <v>48792.13942307692</v>
      </c>
      <c r="J41" s="9">
        <f t="shared" si="1"/>
        <v>50</v>
      </c>
      <c r="K41" s="9">
        <f>+I41*J41*4</f>
        <v>9758427.884615384</v>
      </c>
    </row>
    <row r="42" spans="1:11" ht="12.75">
      <c r="A42" t="s">
        <v>40</v>
      </c>
      <c r="E42" s="9">
        <f>+E40</f>
        <v>45760.692307692305</v>
      </c>
      <c r="F42" s="9">
        <f>+F41</f>
        <v>50</v>
      </c>
      <c r="G42" s="9">
        <f>+E42*F42*2</f>
        <v>4576069.23076923</v>
      </c>
      <c r="I42" s="9">
        <f t="shared" si="0"/>
        <v>45760.692307692305</v>
      </c>
      <c r="J42" s="9">
        <f t="shared" si="1"/>
        <v>50</v>
      </c>
      <c r="K42" s="9">
        <f>+I42*J42*2</f>
        <v>4576069.23076923</v>
      </c>
    </row>
    <row r="43" spans="1:11" ht="12.75">
      <c r="A43" s="3" t="s">
        <v>38</v>
      </c>
      <c r="B43" s="3"/>
      <c r="C43" s="3"/>
      <c r="D43" s="3"/>
      <c r="G43" s="8">
        <f>SUM(G38:G42)</f>
        <v>185135883.6538461</v>
      </c>
      <c r="I43" s="9">
        <f t="shared" si="0"/>
        <v>0</v>
      </c>
      <c r="J43" s="9">
        <f t="shared" si="1"/>
        <v>0</v>
      </c>
      <c r="K43" s="8">
        <f>SUM(K38:K42)</f>
        <v>185135883.6538461</v>
      </c>
    </row>
    <row r="44" spans="9:10" ht="12.75">
      <c r="I44" s="9">
        <f t="shared" si="0"/>
        <v>0</v>
      </c>
      <c r="J44" s="9">
        <f t="shared" si="1"/>
        <v>0</v>
      </c>
    </row>
    <row r="45" spans="1:10" ht="12.75">
      <c r="A45" s="3" t="s">
        <v>52</v>
      </c>
      <c r="I45" s="9">
        <f t="shared" si="0"/>
        <v>0</v>
      </c>
      <c r="J45" s="9">
        <f t="shared" si="1"/>
        <v>0</v>
      </c>
    </row>
    <row r="46" spans="1:10" ht="12.75">
      <c r="A46" t="s">
        <v>53</v>
      </c>
      <c r="E46" s="9">
        <f>+'Antal dyr '!I25*'Antal dyr '!E31/52</f>
        <v>34041.29807692308</v>
      </c>
      <c r="I46" s="9">
        <f t="shared" si="0"/>
        <v>34041.29807692308</v>
      </c>
      <c r="J46" s="9">
        <f t="shared" si="1"/>
        <v>0</v>
      </c>
    </row>
    <row r="47" spans="1:10" ht="12.75">
      <c r="A47" s="5" t="s">
        <v>54</v>
      </c>
      <c r="E47" s="9">
        <f>+'Antal dyr '!I26/13</f>
        <v>28059.076923076922</v>
      </c>
      <c r="I47" s="9">
        <f t="shared" si="0"/>
        <v>28059.076923076922</v>
      </c>
      <c r="J47" s="9">
        <f t="shared" si="1"/>
        <v>0</v>
      </c>
    </row>
    <row r="48" spans="1:11" ht="12.75">
      <c r="A48" s="5" t="s">
        <v>57</v>
      </c>
      <c r="E48" s="7">
        <f>+E47-E46</f>
        <v>-5982.221153846156</v>
      </c>
      <c r="F48">
        <v>0</v>
      </c>
      <c r="G48" s="9">
        <f>+E48*F48</f>
        <v>0</v>
      </c>
      <c r="I48" s="9">
        <f t="shared" si="0"/>
        <v>-5982.221153846156</v>
      </c>
      <c r="J48" s="9">
        <f t="shared" si="1"/>
        <v>0</v>
      </c>
      <c r="K48" s="9">
        <f>+I48*J48</f>
        <v>0</v>
      </c>
    </row>
    <row r="49" spans="1:11" ht="12.75">
      <c r="A49" s="5" t="s">
        <v>55</v>
      </c>
      <c r="E49" s="7">
        <f>+E48</f>
        <v>-5982.221153846156</v>
      </c>
      <c r="F49">
        <v>0</v>
      </c>
      <c r="G49" s="9">
        <v>10000000</v>
      </c>
      <c r="I49" s="9">
        <f t="shared" si="0"/>
        <v>-5982.221153846156</v>
      </c>
      <c r="J49" s="9">
        <f t="shared" si="1"/>
        <v>0</v>
      </c>
      <c r="K49" s="9"/>
    </row>
    <row r="50" spans="1:11" ht="12.75">
      <c r="A50" s="3" t="s">
        <v>38</v>
      </c>
      <c r="B50" s="3"/>
      <c r="C50" s="3"/>
      <c r="D50" s="3"/>
      <c r="E50" s="3"/>
      <c r="F50" s="3"/>
      <c r="G50" s="8">
        <f>SUM(G48:G49)</f>
        <v>10000000</v>
      </c>
      <c r="I50" s="9">
        <f t="shared" si="0"/>
        <v>0</v>
      </c>
      <c r="J50" s="3"/>
      <c r="K50" s="8">
        <f>SUM(K48:K49)</f>
        <v>0</v>
      </c>
    </row>
    <row r="51" spans="1:11" ht="12.75">
      <c r="A51" s="3"/>
      <c r="B51" s="3"/>
      <c r="C51" s="3"/>
      <c r="D51" s="3"/>
      <c r="E51" s="3"/>
      <c r="F51" s="3"/>
      <c r="G51" s="8"/>
      <c r="I51" s="9">
        <f t="shared" si="0"/>
        <v>0</v>
      </c>
      <c r="J51" s="3"/>
      <c r="K51" s="8"/>
    </row>
    <row r="52" spans="1:11" ht="12.75">
      <c r="A52" s="3" t="s">
        <v>48</v>
      </c>
      <c r="B52" s="3"/>
      <c r="C52" s="3"/>
      <c r="D52" s="3"/>
      <c r="E52" s="3"/>
      <c r="F52" s="3"/>
      <c r="G52" s="8">
        <f>+G9+G17+G23+G30+G36+G43+G50</f>
        <v>239589602.88461536</v>
      </c>
      <c r="I52" s="9">
        <f t="shared" si="0"/>
        <v>0</v>
      </c>
      <c r="J52" s="3"/>
      <c r="K52" s="8">
        <f>+K9+K17+K23+K30+K36+K43+K50</f>
        <v>229589602.88461536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" sqref="A1"/>
    </sheetView>
  </sheetViews>
  <sheetFormatPr defaultColWidth="9.140625" defaultRowHeight="12.75"/>
  <cols>
    <col min="4" max="4" width="19.8515625" style="0" customWidth="1"/>
    <col min="12" max="12" width="16.140625" style="0" bestFit="1" customWidth="1"/>
    <col min="13" max="13" width="15.57421875" style="0" customWidth="1"/>
    <col min="18" max="18" width="14.7109375" style="0" customWidth="1"/>
  </cols>
  <sheetData>
    <row r="1" ht="12.75">
      <c r="A1" t="s">
        <v>72</v>
      </c>
    </row>
    <row r="2" spans="17:18" ht="12.75">
      <c r="Q2" s="17" t="s">
        <v>86</v>
      </c>
      <c r="R2" s="17" t="s">
        <v>90</v>
      </c>
    </row>
    <row r="3" spans="14:18" ht="12.75">
      <c r="N3" t="s">
        <v>82</v>
      </c>
      <c r="Q3" s="17"/>
      <c r="R3" s="17"/>
    </row>
    <row r="4" ht="19.5" customHeight="1">
      <c r="N4" t="s">
        <v>83</v>
      </c>
    </row>
    <row r="5" spans="5:18" ht="27" customHeight="1">
      <c r="E5" s="18" t="s">
        <v>74</v>
      </c>
      <c r="F5" s="18" t="s">
        <v>75</v>
      </c>
      <c r="G5" s="18" t="s">
        <v>17</v>
      </c>
      <c r="H5" s="18" t="s">
        <v>87</v>
      </c>
      <c r="I5" s="18" t="s">
        <v>79</v>
      </c>
      <c r="J5" s="18" t="s">
        <v>80</v>
      </c>
      <c r="K5" s="18" t="s">
        <v>81</v>
      </c>
      <c r="L5" s="18" t="s">
        <v>88</v>
      </c>
      <c r="M5" s="18" t="s">
        <v>89</v>
      </c>
      <c r="N5" t="s">
        <v>84</v>
      </c>
      <c r="Q5">
        <v>330</v>
      </c>
      <c r="R5">
        <v>75</v>
      </c>
    </row>
    <row r="6" spans="5:18" ht="35.25" customHeight="1">
      <c r="E6" s="18"/>
      <c r="F6" s="18"/>
      <c r="G6" s="18"/>
      <c r="H6" s="18"/>
      <c r="I6" s="18"/>
      <c r="J6" s="18"/>
      <c r="K6" s="18"/>
      <c r="L6" s="18"/>
      <c r="M6" s="18"/>
      <c r="N6" t="s">
        <v>85</v>
      </c>
      <c r="Q6">
        <v>9.1</v>
      </c>
      <c r="R6">
        <v>125</v>
      </c>
    </row>
    <row r="7" spans="1:12" ht="17.25" customHeight="1">
      <c r="A7" s="13" t="s">
        <v>73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3" ht="18.75" customHeight="1">
      <c r="A8" s="13" t="s">
        <v>76</v>
      </c>
      <c r="B8" s="13"/>
      <c r="C8" s="13"/>
      <c r="D8" s="13"/>
      <c r="E8" s="13"/>
      <c r="F8" s="13">
        <v>8930</v>
      </c>
      <c r="G8" s="13">
        <v>24</v>
      </c>
      <c r="H8" s="13">
        <f>+F8*G8</f>
        <v>214320</v>
      </c>
      <c r="J8" s="13">
        <f>+H8/52</f>
        <v>4121.538461538462</v>
      </c>
      <c r="K8" s="13"/>
      <c r="L8" s="15">
        <f>+J8*(Q5+R5)</f>
        <v>1669223.076923077</v>
      </c>
      <c r="M8" s="15">
        <f>+L8*8</f>
        <v>13353784.615384616</v>
      </c>
    </row>
    <row r="9" spans="1:12" ht="18.75" customHeight="1">
      <c r="A9" s="13" t="s">
        <v>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.75" customHeight="1">
      <c r="A10" s="13" t="s">
        <v>78</v>
      </c>
      <c r="B10" s="13"/>
      <c r="C10" s="13"/>
      <c r="D10" s="13"/>
      <c r="E10" s="13"/>
      <c r="F10" s="13"/>
      <c r="G10" s="13"/>
      <c r="H10" s="13"/>
      <c r="I10" s="13">
        <v>91314</v>
      </c>
      <c r="J10" s="13"/>
      <c r="K10" s="14">
        <f>+I10/13</f>
        <v>7024.153846153846</v>
      </c>
      <c r="L10" s="15">
        <f>+(K10*((80*Q6)+R6))</f>
        <v>5991603.23076923</v>
      </c>
      <c r="M10" s="15">
        <f>+L10*8</f>
        <v>47932825.84615384</v>
      </c>
    </row>
    <row r="11" spans="1:1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>
        <f>+M8+M10</f>
        <v>61286610.46153846</v>
      </c>
    </row>
  </sheetData>
  <mergeCells count="11">
    <mergeCell ref="I5:I6"/>
    <mergeCell ref="J5:J6"/>
    <mergeCell ref="K5:K6"/>
    <mergeCell ref="E5:E6"/>
    <mergeCell ref="F5:F6"/>
    <mergeCell ref="G5:G6"/>
    <mergeCell ref="H5:H6"/>
    <mergeCell ref="Q2:Q3"/>
    <mergeCell ref="L5:L6"/>
    <mergeCell ref="M5:M6"/>
    <mergeCell ref="R2:R3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L15" sqref="L15"/>
    </sheetView>
  </sheetViews>
  <sheetFormatPr defaultColWidth="9.140625" defaultRowHeight="12.75"/>
  <cols>
    <col min="5" max="5" width="14.00390625" style="0" bestFit="1" customWidth="1"/>
    <col min="6" max="7" width="12.28125" style="0" bestFit="1" customWidth="1"/>
    <col min="8" max="8" width="12.28125" style="0" customWidth="1"/>
  </cols>
  <sheetData>
    <row r="3" ht="12.75">
      <c r="A3" s="3" t="s">
        <v>70</v>
      </c>
    </row>
    <row r="4" spans="1:8" ht="12.75">
      <c r="A4" t="s">
        <v>67</v>
      </c>
      <c r="E4" s="12">
        <v>1</v>
      </c>
      <c r="F4" s="12">
        <v>2</v>
      </c>
      <c r="G4" s="12">
        <v>3</v>
      </c>
      <c r="H4" s="12">
        <v>4</v>
      </c>
    </row>
    <row r="5" spans="1:10" ht="12.75">
      <c r="A5" t="s">
        <v>61</v>
      </c>
      <c r="E5" s="2">
        <f>+'Viborg amt'!G9</f>
        <v>18205650</v>
      </c>
      <c r="F5" s="2">
        <f>+'Viborg amt'!G9+'Gns amt'!G9</f>
        <v>28305975</v>
      </c>
      <c r="G5" s="2">
        <f>+E5+'Gns amt'!G9*2</f>
        <v>38406300</v>
      </c>
      <c r="H5" s="2">
        <f>+E5+'Gns amt'!G9*3</f>
        <v>48506625</v>
      </c>
      <c r="I5" s="2"/>
      <c r="J5" s="2"/>
    </row>
    <row r="6" spans="1:10" ht="12.75">
      <c r="A6" t="s">
        <v>63</v>
      </c>
      <c r="E6" s="2">
        <f>+'Viborg amt'!G17+'Viborg amt'!G23*4</f>
        <v>9826407.692307692</v>
      </c>
      <c r="F6" s="2">
        <f>+E6+'Gns amt'!G17+'Gns amt'!G23*4</f>
        <v>16265728.846153846</v>
      </c>
      <c r="G6" s="2">
        <f>+E6+'Gns amt'!G17*2+'Gns amt'!G23*8</f>
        <v>22705050</v>
      </c>
      <c r="H6" s="2">
        <f>+E6+'Gns amt'!G17*3+'Gns amt'!G23*12</f>
        <v>29144371.153846152</v>
      </c>
      <c r="I6" s="2"/>
      <c r="J6" s="2"/>
    </row>
    <row r="7" spans="1:10" ht="12.75">
      <c r="A7" t="s">
        <v>64</v>
      </c>
      <c r="E7" s="2">
        <f>+'Viborg amt'!G30</f>
        <v>36936163.46153846</v>
      </c>
      <c r="F7" s="2">
        <f>+E7+'Gns amt'!G30</f>
        <v>59743944.230769224</v>
      </c>
      <c r="G7" s="2">
        <f>+E7+'Gns amt'!G30*2</f>
        <v>82551725</v>
      </c>
      <c r="H7" s="2">
        <f>+E7+'Gns amt'!G30*3</f>
        <v>105359505.76923075</v>
      </c>
      <c r="I7" s="2"/>
      <c r="J7" s="2"/>
    </row>
    <row r="8" spans="1:10" ht="12.75">
      <c r="A8" t="s">
        <v>65</v>
      </c>
      <c r="E8" s="2">
        <f>+'Viborg amt'!G43</f>
        <v>264082728.84615386</v>
      </c>
      <c r="F8" s="2">
        <f>+E8+'Gns amt'!G43</f>
        <v>449218612.5</v>
      </c>
      <c r="G8" s="2">
        <f>+E8+'Gns amt'!G43*2</f>
        <v>634354496.153846</v>
      </c>
      <c r="H8" s="2">
        <f>+E8+'Gns amt'!G43*3</f>
        <v>819490379.8076922</v>
      </c>
      <c r="I8" s="2"/>
      <c r="J8" s="2"/>
    </row>
    <row r="9" spans="1:10" ht="12.75">
      <c r="A9" t="s">
        <v>66</v>
      </c>
      <c r="E9" s="2">
        <f>+'Viborg amt'!G50</f>
        <v>-6765115.384615376</v>
      </c>
      <c r="F9" s="2">
        <f>+E9+'Gns amt'!G50</f>
        <v>3234884.6153846243</v>
      </c>
      <c r="G9" s="2">
        <f>+E9+'Gns amt'!G50*2</f>
        <v>13234884.615384623</v>
      </c>
      <c r="H9" s="2">
        <f>+E9+'Gns amt'!G50*3</f>
        <v>23234884.615384623</v>
      </c>
      <c r="I9" s="2"/>
      <c r="J9" s="2"/>
    </row>
    <row r="10" spans="1:10" ht="12.75">
      <c r="A10" s="3" t="s">
        <v>62</v>
      </c>
      <c r="B10" s="3"/>
      <c r="C10" s="3"/>
      <c r="D10" s="3"/>
      <c r="E10" s="4">
        <f>SUM(E4:E9)</f>
        <v>322285835.61538464</v>
      </c>
      <c r="F10" s="4">
        <f>SUM(F4:F9)</f>
        <v>556769147.1923077</v>
      </c>
      <c r="G10" s="4">
        <f>SUM(G4:G9)</f>
        <v>791252458.7692306</v>
      </c>
      <c r="H10" s="4">
        <f>SUM(H4:H9)</f>
        <v>1025735770.3461536</v>
      </c>
      <c r="I10" s="4"/>
      <c r="J10" s="4"/>
    </row>
    <row r="11" spans="5:8" ht="12.75">
      <c r="E11" s="1">
        <f>+E10/1000000</f>
        <v>322.28583561538466</v>
      </c>
      <c r="F11" s="1">
        <f>+F10/1000000</f>
        <v>556.7691471923077</v>
      </c>
      <c r="G11" s="1">
        <f>+G10/1000000</f>
        <v>791.2524587692307</v>
      </c>
      <c r="H11" s="1">
        <f>+H10/1000000</f>
        <v>1025.7357703461537</v>
      </c>
    </row>
    <row r="14" ht="12.75">
      <c r="A14" s="3" t="s">
        <v>71</v>
      </c>
    </row>
    <row r="15" spans="1:10" ht="12.75">
      <c r="A15" t="s">
        <v>51</v>
      </c>
      <c r="E15" s="12">
        <v>1</v>
      </c>
      <c r="F15" s="12">
        <v>2</v>
      </c>
      <c r="G15" s="12">
        <v>3</v>
      </c>
      <c r="H15" s="12">
        <v>4</v>
      </c>
      <c r="I15" s="12"/>
      <c r="J15" s="12"/>
    </row>
    <row r="16" spans="1:8" ht="12.75">
      <c r="A16" t="s">
        <v>61</v>
      </c>
      <c r="E16" s="2">
        <f>+E5</f>
        <v>18205650</v>
      </c>
      <c r="F16" s="2">
        <f>+E16*2</f>
        <v>36411300</v>
      </c>
      <c r="G16" s="2">
        <f>+E16*3</f>
        <v>54616950</v>
      </c>
      <c r="H16" s="2">
        <f>+E16*4</f>
        <v>72822600</v>
      </c>
    </row>
    <row r="17" spans="1:8" ht="12.75">
      <c r="A17" t="s">
        <v>63</v>
      </c>
      <c r="E17" s="2">
        <f>+E6</f>
        <v>9826407.692307692</v>
      </c>
      <c r="F17" s="2">
        <f>+E17*2</f>
        <v>19652815.384615384</v>
      </c>
      <c r="G17" s="2">
        <f>+E17*3</f>
        <v>29479223.076923076</v>
      </c>
      <c r="H17" s="2">
        <f>+E17*4</f>
        <v>39305630.76923077</v>
      </c>
    </row>
    <row r="18" spans="1:8" ht="12.75">
      <c r="A18" t="s">
        <v>64</v>
      </c>
      <c r="E18" s="2">
        <f>+E7</f>
        <v>36936163.46153846</v>
      </c>
      <c r="F18" s="2">
        <f>+E18*2</f>
        <v>73872326.92307691</v>
      </c>
      <c r="G18" s="2">
        <f>+E18*3</f>
        <v>110808490.38461536</v>
      </c>
      <c r="H18" s="2">
        <f>+E18*4</f>
        <v>147744653.84615383</v>
      </c>
    </row>
    <row r="19" spans="1:8" ht="12.75">
      <c r="A19" t="s">
        <v>65</v>
      </c>
      <c r="E19" s="2">
        <f>+E8</f>
        <v>264082728.84615386</v>
      </c>
      <c r="F19" s="2">
        <f>+E19</f>
        <v>264082728.84615386</v>
      </c>
      <c r="G19" s="2">
        <f>+E19</f>
        <v>264082728.84615386</v>
      </c>
      <c r="H19" s="2">
        <f>+E19</f>
        <v>264082728.84615386</v>
      </c>
    </row>
    <row r="20" spans="1:8" ht="12.75">
      <c r="A20" t="s">
        <v>66</v>
      </c>
      <c r="E20" s="2">
        <f>+E9</f>
        <v>-6765115.384615376</v>
      </c>
      <c r="F20" s="2">
        <f>+E20</f>
        <v>-6765115.384615376</v>
      </c>
      <c r="G20" s="2">
        <f>+E20</f>
        <v>-6765115.384615376</v>
      </c>
      <c r="H20" s="2">
        <f>+E20</f>
        <v>-6765115.384615376</v>
      </c>
    </row>
    <row r="21" spans="1:8" ht="12.75">
      <c r="A21" s="3" t="s">
        <v>62</v>
      </c>
      <c r="B21" s="3"/>
      <c r="C21" s="3"/>
      <c r="D21" s="3"/>
      <c r="E21" s="4">
        <f>SUM(E15:E20)</f>
        <v>322285835.61538464</v>
      </c>
      <c r="F21" s="4">
        <f>SUM(F15:F20)</f>
        <v>387254057.7692308</v>
      </c>
      <c r="G21" s="4">
        <f>SUM(G15:G20)</f>
        <v>452222279.9230769</v>
      </c>
      <c r="H21" s="4">
        <f>SUM(H15:H20)</f>
        <v>517190502.0769231</v>
      </c>
    </row>
    <row r="22" spans="5:8" ht="12.75">
      <c r="E22" s="6">
        <f>+E21/1000000</f>
        <v>322.28583561538466</v>
      </c>
      <c r="F22" s="6">
        <f>+F21/1000000</f>
        <v>387.25405776923077</v>
      </c>
      <c r="G22" s="6">
        <f>+G21/1000000</f>
        <v>452.22227992307694</v>
      </c>
      <c r="H22" s="6">
        <f>+H21/1000000</f>
        <v>517.190502076923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Slagterier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Bodíl Ydesen</dc:creator>
  <cp:keywords/>
  <dc:description/>
  <cp:lastModifiedBy>Lisbeth Harm Nielsen</cp:lastModifiedBy>
  <cp:lastPrinted>2004-04-28T12:46:11Z</cp:lastPrinted>
  <dcterms:created xsi:type="dcterms:W3CDTF">2002-10-02T11:50:03Z</dcterms:created>
  <dcterms:modified xsi:type="dcterms:W3CDTF">2011-10-03T21:38:39Z</dcterms:modified>
  <cp:category/>
  <cp:version/>
  <cp:contentType/>
  <cp:contentStatus/>
</cp:coreProperties>
</file>